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shara\Downloads\"/>
    </mc:Choice>
  </mc:AlternateContent>
  <xr:revisionPtr revIDLastSave="0" documentId="13_ncr:1_{2CF3DCD4-8FAA-4428-9C17-3384F986E1B0}" xr6:coauthVersionLast="47" xr6:coauthVersionMax="47" xr10:uidLastSave="{00000000-0000-0000-0000-000000000000}"/>
  <bookViews>
    <workbookView xWindow="-108" yWindow="-108" windowWidth="23256" windowHeight="13896" activeTab="2" xr2:uid="{00000000-000D-0000-FFFF-FFFF00000000}"/>
  </bookViews>
  <sheets>
    <sheet name="Business Result" sheetId="1" r:id="rId1"/>
    <sheet name="Profit &amp; Ratios" sheetId="2" r:id="rId2"/>
    <sheet name="Industry Infrastructure"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6" i="2" l="1"/>
  <c r="K46" i="2"/>
  <c r="J46" i="2"/>
  <c r="M46" i="2" s="1"/>
  <c r="I46" i="2"/>
  <c r="H46" i="2"/>
  <c r="K25" i="3"/>
  <c r="I25" i="3"/>
  <c r="H25" i="3"/>
  <c r="G25" i="3"/>
  <c r="F25" i="3"/>
  <c r="E25" i="3"/>
  <c r="D25" i="3"/>
  <c r="C25" i="3"/>
  <c r="B25" i="3"/>
  <c r="G26" i="2"/>
  <c r="F26" i="2"/>
  <c r="E26" i="2"/>
  <c r="D26" i="2"/>
  <c r="C26" i="2"/>
  <c r="P26" i="1"/>
  <c r="O26" i="1"/>
  <c r="N26" i="1"/>
  <c r="M26" i="1"/>
  <c r="L26" i="1"/>
  <c r="K26" i="1"/>
  <c r="J26" i="1"/>
  <c r="I26" i="1"/>
  <c r="H26" i="1"/>
  <c r="G26" i="1"/>
  <c r="F26" i="1"/>
  <c r="E26" i="1"/>
  <c r="D26" i="1"/>
  <c r="C26" i="1"/>
  <c r="B26" i="1"/>
  <c r="L25" i="2"/>
  <c r="K25" i="2"/>
  <c r="J25" i="2"/>
  <c r="I25" i="2"/>
  <c r="H25" i="2"/>
  <c r="D25" i="2"/>
  <c r="K25" i="1"/>
  <c r="P25" i="1" s="1"/>
  <c r="B25" i="2" s="1"/>
  <c r="F25" i="2" s="1"/>
  <c r="G25" i="2" s="1"/>
  <c r="C54" i="1"/>
  <c r="C34" i="1"/>
  <c r="C48" i="1"/>
  <c r="M25" i="2" l="1"/>
  <c r="C37" i="1"/>
  <c r="C57" i="1" s="1"/>
  <c r="C53" i="2"/>
  <c r="D46" i="2"/>
  <c r="L44" i="2"/>
  <c r="K44" i="2"/>
  <c r="J44" i="2"/>
  <c r="I44" i="2"/>
  <c r="H44" i="2"/>
  <c r="D44" i="2"/>
  <c r="M44" i="2" l="1"/>
  <c r="O32" i="1"/>
  <c r="D24" i="2"/>
  <c r="E23" i="2"/>
  <c r="D21" i="2"/>
  <c r="E17" i="2" l="1"/>
  <c r="D17" i="2"/>
  <c r="D16" i="2"/>
  <c r="D15" i="2"/>
  <c r="D14" i="2"/>
  <c r="D9" i="2" l="1"/>
  <c r="E8" i="2"/>
  <c r="D7" i="2"/>
  <c r="D6" i="2"/>
  <c r="E5" i="2"/>
  <c r="D5" i="2"/>
  <c r="K52" i="1"/>
  <c r="K53" i="1"/>
  <c r="P44" i="1"/>
  <c r="B44" i="2" s="1"/>
  <c r="F44" i="2" s="1"/>
  <c r="K47" i="1"/>
  <c r="K46" i="1"/>
  <c r="P46" i="1" s="1"/>
  <c r="B46" i="2" s="1"/>
  <c r="F46" i="2" s="1"/>
  <c r="K45" i="1"/>
  <c r="K44" i="1"/>
  <c r="K43" i="1"/>
  <c r="K42" i="1"/>
  <c r="K41" i="1"/>
  <c r="K30" i="1"/>
  <c r="P30" i="1" s="1"/>
  <c r="F93" i="1"/>
  <c r="F91" i="1" l="1"/>
  <c r="F89" i="1" l="1"/>
  <c r="F87" i="1"/>
  <c r="D45" i="2" l="1"/>
  <c r="D43" i="2"/>
  <c r="D42" i="2"/>
  <c r="D41" i="2"/>
  <c r="L24" i="2"/>
  <c r="K24" i="2"/>
  <c r="J24" i="2"/>
  <c r="I24" i="2"/>
  <c r="H24" i="2"/>
  <c r="L13" i="2"/>
  <c r="K13" i="2"/>
  <c r="J13" i="2"/>
  <c r="I13" i="2"/>
  <c r="H13" i="2"/>
  <c r="K5" i="1"/>
  <c r="K13" i="1"/>
  <c r="P13" i="1" s="1"/>
  <c r="K24" i="1"/>
  <c r="P24" i="1" s="1"/>
  <c r="B24" i="2" s="1"/>
  <c r="F24" i="2" s="1"/>
  <c r="K37" i="3"/>
  <c r="I53" i="3"/>
  <c r="D55" i="2"/>
  <c r="D53" i="2"/>
  <c r="D52" i="2"/>
  <c r="D47" i="2"/>
  <c r="D35" i="2"/>
  <c r="D32" i="2"/>
  <c r="D31" i="2"/>
  <c r="D30" i="2"/>
  <c r="P5" i="1" l="1"/>
  <c r="M24" i="2"/>
  <c r="G24" i="2"/>
  <c r="M13" i="2"/>
  <c r="B13" i="2"/>
  <c r="F13" i="2" s="1"/>
  <c r="D54" i="2"/>
  <c r="D34" i="2"/>
  <c r="D58" i="2"/>
  <c r="D48" i="2"/>
  <c r="L38" i="1"/>
  <c r="D37" i="2" l="1"/>
  <c r="D57" i="2" s="1"/>
  <c r="O54" i="1"/>
  <c r="O48" i="1"/>
  <c r="O38" i="1"/>
  <c r="O58" i="1" s="1"/>
  <c r="O34" i="1"/>
  <c r="O37" i="1" l="1"/>
  <c r="O57" i="1" s="1"/>
  <c r="O59" i="1" s="1"/>
  <c r="B55" i="2"/>
  <c r="B49" i="2"/>
  <c r="P45" i="1"/>
  <c r="B35" i="2"/>
  <c r="K33" i="1"/>
  <c r="K32" i="1"/>
  <c r="K31" i="1"/>
  <c r="K23" i="1"/>
  <c r="K22" i="1"/>
  <c r="K21" i="1"/>
  <c r="K20" i="1"/>
  <c r="K19" i="1"/>
  <c r="K18" i="1"/>
  <c r="K17" i="1"/>
  <c r="K16" i="1"/>
  <c r="K15" i="1"/>
  <c r="K14" i="1"/>
  <c r="K12" i="1"/>
  <c r="K11" i="1"/>
  <c r="K10" i="1"/>
  <c r="K9" i="1"/>
  <c r="K8" i="1"/>
  <c r="P8" i="1" s="1"/>
  <c r="K7" i="1"/>
  <c r="K6" i="1"/>
  <c r="B5" i="2"/>
  <c r="N38" i="1"/>
  <c r="M38" i="1"/>
  <c r="P9" i="1" l="1"/>
  <c r="B9" i="2" s="1"/>
  <c r="P10" i="1"/>
  <c r="B10" i="2" s="1"/>
  <c r="P18" i="1"/>
  <c r="B18" i="2" s="1"/>
  <c r="P31" i="1"/>
  <c r="B31" i="2" s="1"/>
  <c r="F31" i="2" s="1"/>
  <c r="P47" i="1"/>
  <c r="B47" i="2" s="1"/>
  <c r="F47" i="2" s="1"/>
  <c r="P17" i="1"/>
  <c r="B17" i="2" s="1"/>
  <c r="P32" i="1"/>
  <c r="B32" i="2" s="1"/>
  <c r="P11" i="1"/>
  <c r="B11" i="2" s="1"/>
  <c r="P19" i="1"/>
  <c r="B19" i="2" s="1"/>
  <c r="P12" i="1"/>
  <c r="B12" i="2" s="1"/>
  <c r="P20" i="1"/>
  <c r="B20" i="2" s="1"/>
  <c r="P33" i="1"/>
  <c r="B33" i="2" s="1"/>
  <c r="P52" i="1"/>
  <c r="B52" i="2" s="1"/>
  <c r="P53" i="1"/>
  <c r="B53" i="2" s="1"/>
  <c r="P21" i="1"/>
  <c r="B21" i="2" s="1"/>
  <c r="P14" i="1"/>
  <c r="B14" i="2" s="1"/>
  <c r="P41" i="1"/>
  <c r="B41" i="2" s="1"/>
  <c r="P7" i="1"/>
  <c r="B7" i="2" s="1"/>
  <c r="P15" i="1"/>
  <c r="B15" i="2" s="1"/>
  <c r="P23" i="1"/>
  <c r="B23" i="2" s="1"/>
  <c r="P42" i="1"/>
  <c r="B42" i="2" s="1"/>
  <c r="B30" i="2"/>
  <c r="P6" i="1"/>
  <c r="P22" i="1"/>
  <c r="B22" i="2" s="1"/>
  <c r="P16" i="1"/>
  <c r="B16" i="2" s="1"/>
  <c r="P43" i="1"/>
  <c r="B43" i="2" s="1"/>
  <c r="B8" i="2"/>
  <c r="P38" i="1"/>
  <c r="B38" i="2" s="1"/>
  <c r="B27" i="2"/>
  <c r="K38" i="1"/>
  <c r="K58" i="1" s="1"/>
  <c r="K54" i="1"/>
  <c r="K34" i="1"/>
  <c r="K48" i="1"/>
  <c r="B45" i="2"/>
  <c r="J38" i="1"/>
  <c r="I38" i="1"/>
  <c r="H38" i="1"/>
  <c r="F38" i="1"/>
  <c r="E38" i="1"/>
  <c r="D38" i="1"/>
  <c r="B38" i="1"/>
  <c r="B6" i="2" l="1"/>
  <c r="I58" i="1"/>
  <c r="K37" i="1"/>
  <c r="K57" i="1" s="1"/>
  <c r="K59" i="1" s="1"/>
  <c r="B68" i="1" l="1"/>
  <c r="B71" i="1" s="1"/>
  <c r="I57" i="3" l="1"/>
  <c r="K57" i="3"/>
  <c r="H57" i="3"/>
  <c r="G57" i="3"/>
  <c r="F57" i="3"/>
  <c r="E57" i="3"/>
  <c r="D57" i="3"/>
  <c r="C57" i="3"/>
  <c r="B57" i="3"/>
  <c r="K33" i="3"/>
  <c r="I33" i="3"/>
  <c r="H33" i="3"/>
  <c r="G33" i="3"/>
  <c r="F33" i="3"/>
  <c r="E33" i="3"/>
  <c r="D33" i="3"/>
  <c r="C33" i="3"/>
  <c r="B33" i="3"/>
  <c r="G58" i="2"/>
  <c r="F58" i="2"/>
  <c r="E58" i="2"/>
  <c r="C58" i="2"/>
  <c r="B58" i="2"/>
  <c r="L27" i="2"/>
  <c r="K27" i="2"/>
  <c r="J27" i="2"/>
  <c r="L35" i="2"/>
  <c r="K35" i="2"/>
  <c r="J35" i="2"/>
  <c r="I35" i="2"/>
  <c r="H35" i="2"/>
  <c r="P58" i="1"/>
  <c r="N58" i="1"/>
  <c r="M58" i="1"/>
  <c r="L58" i="1"/>
  <c r="J58" i="1"/>
  <c r="H58" i="1"/>
  <c r="F58" i="1"/>
  <c r="E58" i="1"/>
  <c r="D58" i="1"/>
  <c r="B58" i="1"/>
  <c r="I27" i="2"/>
  <c r="M34" i="1"/>
  <c r="L34" i="1"/>
  <c r="J34" i="1"/>
  <c r="I34" i="1"/>
  <c r="H34" i="1"/>
  <c r="G34" i="1"/>
  <c r="F34" i="1"/>
  <c r="E34" i="1"/>
  <c r="D34" i="1"/>
  <c r="B34" i="1"/>
  <c r="F16" i="2"/>
  <c r="G16" i="2" s="1"/>
  <c r="F17" i="2"/>
  <c r="F19" i="2"/>
  <c r="F21" i="2"/>
  <c r="F5" i="2"/>
  <c r="F6" i="2"/>
  <c r="F7" i="2"/>
  <c r="F8" i="2"/>
  <c r="F9" i="2"/>
  <c r="G9" i="2" s="1"/>
  <c r="F10" i="2"/>
  <c r="F11" i="2"/>
  <c r="F12" i="2"/>
  <c r="F14" i="2"/>
  <c r="G14" i="2" s="1"/>
  <c r="F15" i="2"/>
  <c r="F23" i="2"/>
  <c r="I47" i="3"/>
  <c r="F42" i="2"/>
  <c r="G42" i="2" s="1"/>
  <c r="F43" i="2"/>
  <c r="F53" i="2"/>
  <c r="F52" i="2"/>
  <c r="L32" i="2"/>
  <c r="K32" i="2"/>
  <c r="J32" i="2"/>
  <c r="I32" i="2"/>
  <c r="H32" i="2"/>
  <c r="H6" i="2"/>
  <c r="H7" i="2"/>
  <c r="H8" i="2"/>
  <c r="H9" i="2"/>
  <c r="H10" i="2"/>
  <c r="H11" i="2"/>
  <c r="H12" i="2"/>
  <c r="H14" i="2"/>
  <c r="H15" i="2"/>
  <c r="H30" i="2"/>
  <c r="H16" i="2"/>
  <c r="H17" i="2"/>
  <c r="H18" i="2"/>
  <c r="H19" i="2"/>
  <c r="H20" i="2"/>
  <c r="H21" i="2"/>
  <c r="H22" i="2"/>
  <c r="H31" i="2"/>
  <c r="H33" i="2"/>
  <c r="H23" i="2"/>
  <c r="H41" i="2"/>
  <c r="H42" i="2"/>
  <c r="H43" i="2"/>
  <c r="H45" i="2"/>
  <c r="H47" i="2"/>
  <c r="H49" i="2"/>
  <c r="H52" i="2"/>
  <c r="H53" i="2"/>
  <c r="H55" i="2"/>
  <c r="H5" i="2"/>
  <c r="L6" i="2"/>
  <c r="L7" i="2"/>
  <c r="L8" i="2"/>
  <c r="L9" i="2"/>
  <c r="L10" i="2"/>
  <c r="L11" i="2"/>
  <c r="L12" i="2"/>
  <c r="L14" i="2"/>
  <c r="L15" i="2"/>
  <c r="L30" i="2"/>
  <c r="L16" i="2"/>
  <c r="L17" i="2"/>
  <c r="L18" i="2"/>
  <c r="L19" i="2"/>
  <c r="L20" i="2"/>
  <c r="L21" i="2"/>
  <c r="L22" i="2"/>
  <c r="L31" i="2"/>
  <c r="L33" i="2"/>
  <c r="L23" i="2"/>
  <c r="L38" i="2"/>
  <c r="L41" i="2"/>
  <c r="L42" i="2"/>
  <c r="L43" i="2"/>
  <c r="L45" i="2"/>
  <c r="L47" i="2"/>
  <c r="L49" i="2"/>
  <c r="L52" i="2"/>
  <c r="L53" i="2"/>
  <c r="L55" i="2"/>
  <c r="L5" i="2"/>
  <c r="K6" i="2"/>
  <c r="K7" i="2"/>
  <c r="K8" i="2"/>
  <c r="K9" i="2"/>
  <c r="K10" i="2"/>
  <c r="K11" i="2"/>
  <c r="K12" i="2"/>
  <c r="K14" i="2"/>
  <c r="K15" i="2"/>
  <c r="K30" i="2"/>
  <c r="K16" i="2"/>
  <c r="K17" i="2"/>
  <c r="K18" i="2"/>
  <c r="K19" i="2"/>
  <c r="K20" i="2"/>
  <c r="K21" i="2"/>
  <c r="K22" i="2"/>
  <c r="K31" i="2"/>
  <c r="K33" i="2"/>
  <c r="K23" i="2"/>
  <c r="K38" i="2"/>
  <c r="K41" i="2"/>
  <c r="K42" i="2"/>
  <c r="K43" i="2"/>
  <c r="K45" i="2"/>
  <c r="K47" i="2"/>
  <c r="K49" i="2"/>
  <c r="K52" i="2"/>
  <c r="K53" i="2"/>
  <c r="K55" i="2"/>
  <c r="K5" i="2"/>
  <c r="J6" i="2"/>
  <c r="J7" i="2"/>
  <c r="J8" i="2"/>
  <c r="J9" i="2"/>
  <c r="J10" i="2"/>
  <c r="J11" i="2"/>
  <c r="J12" i="2"/>
  <c r="J14" i="2"/>
  <c r="J15" i="2"/>
  <c r="J30" i="2"/>
  <c r="J16" i="2"/>
  <c r="J17" i="2"/>
  <c r="J18" i="2"/>
  <c r="J19" i="2"/>
  <c r="J20" i="2"/>
  <c r="J21" i="2"/>
  <c r="J22" i="2"/>
  <c r="J31" i="2"/>
  <c r="J33" i="2"/>
  <c r="J23" i="2"/>
  <c r="J38" i="2"/>
  <c r="J41" i="2"/>
  <c r="J42" i="2"/>
  <c r="J43" i="2"/>
  <c r="J45" i="2"/>
  <c r="J47" i="2"/>
  <c r="J49" i="2"/>
  <c r="J52" i="2"/>
  <c r="J53" i="2"/>
  <c r="J55" i="2"/>
  <c r="J5" i="2"/>
  <c r="I6" i="2"/>
  <c r="I7" i="2"/>
  <c r="I8" i="2"/>
  <c r="I9" i="2"/>
  <c r="I10" i="2"/>
  <c r="I11" i="2"/>
  <c r="I12" i="2"/>
  <c r="I14" i="2"/>
  <c r="I15" i="2"/>
  <c r="I30" i="2"/>
  <c r="I16" i="2"/>
  <c r="I17" i="2"/>
  <c r="I18" i="2"/>
  <c r="I19" i="2"/>
  <c r="I20" i="2"/>
  <c r="I21" i="2"/>
  <c r="I22" i="2"/>
  <c r="I31" i="2"/>
  <c r="I33" i="2"/>
  <c r="I23" i="2"/>
  <c r="I38" i="2"/>
  <c r="I41" i="2"/>
  <c r="I42" i="2"/>
  <c r="I43" i="2"/>
  <c r="I45" i="2"/>
  <c r="I47" i="2"/>
  <c r="I49" i="2"/>
  <c r="I52" i="2"/>
  <c r="I53" i="2"/>
  <c r="I55" i="2"/>
  <c r="I5" i="2"/>
  <c r="C54" i="2"/>
  <c r="E54" i="2"/>
  <c r="G54" i="2"/>
  <c r="C48" i="2"/>
  <c r="D54" i="1"/>
  <c r="E54" i="1"/>
  <c r="F54" i="1"/>
  <c r="G54" i="1"/>
  <c r="H54" i="1"/>
  <c r="I54" i="1"/>
  <c r="J54" i="1"/>
  <c r="L54" i="1"/>
  <c r="M54" i="1"/>
  <c r="N54" i="1"/>
  <c r="B54" i="1"/>
  <c r="D48" i="1"/>
  <c r="E48" i="1"/>
  <c r="F48" i="1"/>
  <c r="G48" i="1"/>
  <c r="H48" i="1"/>
  <c r="I48" i="1"/>
  <c r="J48" i="1"/>
  <c r="L48" i="1"/>
  <c r="M48" i="1"/>
  <c r="N48" i="1"/>
  <c r="B48" i="1"/>
  <c r="C53" i="3"/>
  <c r="D53" i="3"/>
  <c r="E53" i="3"/>
  <c r="F53" i="3"/>
  <c r="G53" i="3"/>
  <c r="H53" i="3"/>
  <c r="K53" i="3"/>
  <c r="B53" i="3"/>
  <c r="C47" i="3"/>
  <c r="D47" i="3"/>
  <c r="E47" i="3"/>
  <c r="F47" i="3"/>
  <c r="G47" i="3"/>
  <c r="H47" i="3"/>
  <c r="K47" i="3"/>
  <c r="B47" i="3"/>
  <c r="P48" i="1" l="1"/>
  <c r="G5" i="2"/>
  <c r="H36" i="3"/>
  <c r="H56" i="3" s="1"/>
  <c r="B36" i="3"/>
  <c r="B56" i="3" s="1"/>
  <c r="B58" i="3" s="1"/>
  <c r="K36" i="3"/>
  <c r="K56" i="3" s="1"/>
  <c r="K58" i="3" s="1"/>
  <c r="F36" i="3"/>
  <c r="F56" i="3" s="1"/>
  <c r="F58" i="3" s="1"/>
  <c r="C36" i="3"/>
  <c r="C56" i="3" s="1"/>
  <c r="C58" i="3" s="1"/>
  <c r="I36" i="3"/>
  <c r="I56" i="3" s="1"/>
  <c r="L34" i="2"/>
  <c r="L26" i="2"/>
  <c r="J34" i="2"/>
  <c r="J26" i="2"/>
  <c r="H26" i="2"/>
  <c r="H34" i="2"/>
  <c r="K34" i="2"/>
  <c r="I26" i="2"/>
  <c r="I34" i="2"/>
  <c r="K26" i="2"/>
  <c r="J58" i="2"/>
  <c r="L58" i="2"/>
  <c r="H27" i="2"/>
  <c r="G38" i="1"/>
  <c r="G36" i="3"/>
  <c r="G56" i="3" s="1"/>
  <c r="G58" i="3" s="1"/>
  <c r="D36" i="3"/>
  <c r="D56" i="3" s="1"/>
  <c r="D58" i="3" s="1"/>
  <c r="E36" i="3"/>
  <c r="E56" i="3" s="1"/>
  <c r="E58" i="3" s="1"/>
  <c r="M35" i="2"/>
  <c r="E34" i="2"/>
  <c r="M27" i="2"/>
  <c r="C34" i="2"/>
  <c r="C37" i="2" s="1"/>
  <c r="C57" i="2" s="1"/>
  <c r="C59" i="2" s="1"/>
  <c r="K58" i="2"/>
  <c r="I58" i="2"/>
  <c r="B37" i="1"/>
  <c r="B57" i="1" s="1"/>
  <c r="F65" i="1" s="1"/>
  <c r="F37" i="1"/>
  <c r="H37" i="1"/>
  <c r="D37" i="1"/>
  <c r="M37" i="1"/>
  <c r="M57" i="1" s="1"/>
  <c r="M59" i="1" s="1"/>
  <c r="L37" i="1"/>
  <c r="L57" i="1" s="1"/>
  <c r="L59" i="1" s="1"/>
  <c r="I37" i="1"/>
  <c r="J37" i="1"/>
  <c r="E37" i="1"/>
  <c r="E57" i="1" s="1"/>
  <c r="E59" i="1" s="1"/>
  <c r="G37" i="1"/>
  <c r="G57" i="1" s="1"/>
  <c r="N34" i="1"/>
  <c r="P34" i="1" s="1"/>
  <c r="B26" i="2"/>
  <c r="H48" i="2"/>
  <c r="L48" i="2"/>
  <c r="K54" i="2"/>
  <c r="K48" i="2"/>
  <c r="J48" i="2"/>
  <c r="F20" i="2"/>
  <c r="H54" i="2"/>
  <c r="I48" i="2"/>
  <c r="J54" i="2"/>
  <c r="F41" i="2"/>
  <c r="G41" i="2" s="1"/>
  <c r="L54" i="2"/>
  <c r="M49" i="2"/>
  <c r="M23" i="2"/>
  <c r="M17" i="2"/>
  <c r="M10" i="2"/>
  <c r="I54" i="2"/>
  <c r="M52" i="2"/>
  <c r="M38" i="2"/>
  <c r="M18" i="2"/>
  <c r="M11" i="2"/>
  <c r="M33" i="2"/>
  <c r="M16" i="2"/>
  <c r="M9" i="2"/>
  <c r="F33" i="2"/>
  <c r="G34" i="2" s="1"/>
  <c r="F32" i="2"/>
  <c r="M47" i="2"/>
  <c r="M31" i="2"/>
  <c r="M8" i="2"/>
  <c r="M45" i="2"/>
  <c r="M22" i="2"/>
  <c r="M15" i="2"/>
  <c r="F22" i="2"/>
  <c r="F45" i="2"/>
  <c r="G45" i="2" s="1"/>
  <c r="F18" i="2"/>
  <c r="M55" i="2"/>
  <c r="M14" i="2"/>
  <c r="M42" i="2"/>
  <c r="M20" i="2"/>
  <c r="M6" i="2"/>
  <c r="M32" i="2"/>
  <c r="E48" i="2"/>
  <c r="M43" i="2"/>
  <c r="M7" i="2"/>
  <c r="M53" i="2"/>
  <c r="M41" i="2"/>
  <c r="M19" i="2"/>
  <c r="M12" i="2"/>
  <c r="M21" i="2"/>
  <c r="M5" i="2"/>
  <c r="B48" i="2"/>
  <c r="F54" i="2"/>
  <c r="B54" i="2"/>
  <c r="P54" i="1"/>
  <c r="M30" i="2"/>
  <c r="F67" i="1" l="1"/>
  <c r="F68" i="1"/>
  <c r="F66" i="1"/>
  <c r="B70" i="1"/>
  <c r="B72" i="1" s="1"/>
  <c r="B74" i="1" s="1"/>
  <c r="G66" i="1"/>
  <c r="G65" i="1"/>
  <c r="G68" i="1"/>
  <c r="G67" i="1"/>
  <c r="G37" i="2"/>
  <c r="G48" i="2"/>
  <c r="I57" i="1"/>
  <c r="K57" i="2" s="1"/>
  <c r="H57" i="1"/>
  <c r="H59" i="1" s="1"/>
  <c r="F57" i="1"/>
  <c r="F59" i="1" s="1"/>
  <c r="E37" i="2"/>
  <c r="E57" i="2" s="1"/>
  <c r="E59" i="2" s="1"/>
  <c r="M26" i="2"/>
  <c r="M34" i="2"/>
  <c r="J37" i="2"/>
  <c r="L37" i="2"/>
  <c r="M58" i="2"/>
  <c r="G58" i="1"/>
  <c r="H58" i="2" s="1"/>
  <c r="H38" i="2"/>
  <c r="B34" i="2"/>
  <c r="H37" i="2"/>
  <c r="D57" i="1"/>
  <c r="I37" i="2"/>
  <c r="P37" i="1"/>
  <c r="P57" i="1" s="1"/>
  <c r="P59" i="1" s="1"/>
  <c r="J57" i="1"/>
  <c r="J59" i="1" s="1"/>
  <c r="K37" i="2"/>
  <c r="N37" i="1"/>
  <c r="N57" i="1" s="1"/>
  <c r="N59" i="1" s="1"/>
  <c r="M54" i="2"/>
  <c r="M48" i="2"/>
  <c r="F48" i="2"/>
  <c r="F30" i="2"/>
  <c r="B59" i="1"/>
  <c r="I57" i="2"/>
  <c r="F70" i="1" l="1"/>
  <c r="G70" i="1"/>
  <c r="G57" i="2"/>
  <c r="G59" i="2" s="1"/>
  <c r="J57" i="2"/>
  <c r="I59" i="1"/>
  <c r="M37" i="2"/>
  <c r="G59" i="1"/>
  <c r="B37" i="2"/>
  <c r="B57" i="2" s="1"/>
  <c r="B59" i="2" s="1"/>
  <c r="F34" i="2"/>
  <c r="F37" i="2" s="1"/>
  <c r="F57" i="2" s="1"/>
  <c r="F59" i="2" s="1"/>
  <c r="L57" i="2"/>
  <c r="H57" i="2"/>
  <c r="D59" i="1"/>
  <c r="M57" i="2" l="1"/>
</calcChain>
</file>

<file path=xl/sharedStrings.xml><?xml version="1.0" encoding="utf-8"?>
<sst xmlns="http://schemas.openxmlformats.org/spreadsheetml/2006/main" count="227" uniqueCount="116">
  <si>
    <t>(All figures in Rs Cr)</t>
  </si>
  <si>
    <t>Particulars</t>
  </si>
  <si>
    <t>Gross Direct Premium (India &amp; Abroad)</t>
  </si>
  <si>
    <t>Gross Written Premium</t>
  </si>
  <si>
    <t>Net Premium</t>
  </si>
  <si>
    <t>Net Earned Premium</t>
  </si>
  <si>
    <t>Gross Incurred Claims</t>
  </si>
  <si>
    <t>Net Incurred Claims</t>
  </si>
  <si>
    <t>Commission Net</t>
  </si>
  <si>
    <t>Mgmt. Expenses</t>
  </si>
  <si>
    <t>Pure Underwriting results</t>
  </si>
  <si>
    <t>Exchange loss/gain &amp; Other income /Outgo</t>
  </si>
  <si>
    <t>Amount transferred from P &amp; L Account</t>
  </si>
  <si>
    <t>Investment Income allocated to Policyholders' fund</t>
  </si>
  <si>
    <t>Operating Profit</t>
  </si>
  <si>
    <t>Private Sector insurers</t>
  </si>
  <si>
    <t>Acko General Insurance Ltd</t>
  </si>
  <si>
    <t>Bajaj Allianz General Insurance Co Ltd</t>
  </si>
  <si>
    <t>Cholamandalam MS General Insurance Co Ltd</t>
  </si>
  <si>
    <t>Zuno General Insurance Co Ltd</t>
  </si>
  <si>
    <t>Future Generali India Insurance Co Ltd</t>
  </si>
  <si>
    <t>Go Digit General Insurance Ltd</t>
  </si>
  <si>
    <t>HDFC Ergo General Insurance Co Ltd</t>
  </si>
  <si>
    <t>ICICI Lombard General Insurance Co Ltd</t>
  </si>
  <si>
    <t>IFFCO-Tokio General Insurance Co Ltd</t>
  </si>
  <si>
    <t>Liberty  General Insurance Co. Ltd</t>
  </si>
  <si>
    <t>Magma HDI General Insurance Co Ltd</t>
  </si>
  <si>
    <t>Navi General Insurance Co. Ltd</t>
  </si>
  <si>
    <t>Raheja QBE General Insurance Co Ltd</t>
  </si>
  <si>
    <t>Reliance General Insurance Co Ltd</t>
  </si>
  <si>
    <t>Royal Sundaram General Insurance Co Ltd</t>
  </si>
  <si>
    <t>SBI General Insurance Co Ltd</t>
  </si>
  <si>
    <t>Shriram General Insurance Co Ltd</t>
  </si>
  <si>
    <t>Tata AIG General Insurance Co Ltd</t>
  </si>
  <si>
    <t>Universal Sompo General Insurance Co Ltd</t>
  </si>
  <si>
    <t>Total for private sector insurers</t>
  </si>
  <si>
    <t>Public Sector insurers</t>
  </si>
  <si>
    <t>National Insurance Co Ltd</t>
  </si>
  <si>
    <t>The New India Assurance Co Ltd</t>
  </si>
  <si>
    <t>The Oriental Insurance Co Ltd</t>
  </si>
  <si>
    <t>United India Insurance Co Ltd</t>
  </si>
  <si>
    <t>Total for Public sector insurers</t>
  </si>
  <si>
    <t>General Insurers  Sub Total</t>
  </si>
  <si>
    <t>Stand Alone Health Insurers</t>
  </si>
  <si>
    <t xml:space="preserve"> Niva bupa health insurance company limited</t>
  </si>
  <si>
    <t>Aditya Birla Health Insurance Co Ltd</t>
  </si>
  <si>
    <t>Care Health Insurance Ltd</t>
  </si>
  <si>
    <t>Manipal Cigna Health Insurance Co Ltd</t>
  </si>
  <si>
    <t>Star Health &amp; Allied Insurance Co Ltd</t>
  </si>
  <si>
    <t>Total for Stand Alone health insurers</t>
  </si>
  <si>
    <t>Specialized Insurers</t>
  </si>
  <si>
    <t>Agriculture Insurance Co Of India Ltd</t>
  </si>
  <si>
    <t>ECGC Ltd</t>
  </si>
  <si>
    <t>Total - Specialized companies</t>
  </si>
  <si>
    <t>GENERAL INSURANCE INDUSTRY - TOTAL</t>
  </si>
  <si>
    <t>% Change over previous period</t>
  </si>
  <si>
    <t>Note:   Compiled by GI Council on the basis of data submitted by the Member Insurance Companies  on Online portal/Public disclosures [NL1-4, NL8-10, NL 28, NL 36, NL 41)</t>
  </si>
  <si>
    <t>Foreign Premium</t>
  </si>
  <si>
    <t>New India</t>
  </si>
  <si>
    <t>National</t>
  </si>
  <si>
    <t>Oriental</t>
  </si>
  <si>
    <t>Investment income credited to P&amp; L account</t>
  </si>
  <si>
    <t>Amount transferred from P &amp; L account</t>
  </si>
  <si>
    <t>Other Income/Outgo (P&amp;L a/c)</t>
  </si>
  <si>
    <t>Profit/ (Loss)  Before Tax</t>
  </si>
  <si>
    <t>Profit/ (Loss) After Tax</t>
  </si>
  <si>
    <t>Gross Incurred Claims Ratio (%)</t>
  </si>
  <si>
    <t>Net retention (NP/GDP) - in %tage</t>
  </si>
  <si>
    <t>Net Incurred Claims/NEP (%)</t>
  </si>
  <si>
    <t>Commission/NWP</t>
  </si>
  <si>
    <t>Expenses of Mgmt. / NWP</t>
  </si>
  <si>
    <t>Combined Ratio (IRDAI circular Ref: IRDA/F&amp;I/CIR/F&amp;A/23/10/2012)</t>
  </si>
  <si>
    <t>Total for Private sector insurers</t>
  </si>
  <si>
    <t>Total for Public Sector insurers</t>
  </si>
  <si>
    <t>Specialized Companies</t>
  </si>
  <si>
    <t>NA</t>
  </si>
  <si>
    <t>No. of Employees</t>
  </si>
  <si>
    <t>No. of Offices</t>
  </si>
  <si>
    <t>No.of Policies</t>
  </si>
  <si>
    <t>No.of Point of Sale Personnel</t>
  </si>
  <si>
    <t>FDI (Rs Cr)</t>
  </si>
  <si>
    <t xml:space="preserve"> Capital &amp; Free Reserves (*) </t>
  </si>
  <si>
    <t>Lossses carried forward</t>
  </si>
  <si>
    <t>Solvency</t>
  </si>
  <si>
    <t>Investments in infrastructure/social/housing Sectors</t>
  </si>
  <si>
    <t>Public Sector Companies</t>
  </si>
  <si>
    <t>Stand-alone Health Insurers</t>
  </si>
  <si>
    <t>* Capital and Free reserves means Paid up Capital as per NL8 and Free Reserves as per NL 10</t>
  </si>
  <si>
    <t>Infrastructure investments including investments in housing/social sector as per NL 28</t>
  </si>
  <si>
    <t xml:space="preserve"> Niva Bupa Health Insurance Company Limited</t>
  </si>
  <si>
    <t>Kshema General Insurance Ltd</t>
  </si>
  <si>
    <t>Kshema General Insurance Co Ltd</t>
  </si>
  <si>
    <t>No.of Agents/brokers</t>
  </si>
  <si>
    <t xml:space="preserve">Gross Direct Premium out of India </t>
  </si>
  <si>
    <t>Premium deficiency (*)</t>
  </si>
  <si>
    <t>* Premium deficiency - positive figures means write back</t>
  </si>
  <si>
    <t>Employee count includes on the rolls and contractual employees</t>
  </si>
  <si>
    <t>Intermediates includes agents, brokers, Corporate agents, MISP etc.</t>
  </si>
  <si>
    <t>Market shares</t>
  </si>
  <si>
    <t>Pvt Sector</t>
  </si>
  <si>
    <t>PSU's</t>
  </si>
  <si>
    <t>Health cos</t>
  </si>
  <si>
    <t>Others</t>
  </si>
  <si>
    <t>23-24</t>
  </si>
  <si>
    <t>FINANCIAL HIGHLIGHTS FOR THE PERIOD ENDED 31.03.2025</t>
  </si>
  <si>
    <t>Galaxy Health Insurance Co Ltd</t>
  </si>
  <si>
    <t>Narayana Health Insurance Ltd</t>
  </si>
  <si>
    <t>Previous period as on 31.03.2024</t>
  </si>
  <si>
    <t>Previous Period as on 31.03.2024</t>
  </si>
  <si>
    <t>Gross Direct Premium - Total</t>
  </si>
  <si>
    <t>Gross Direct Premium in India</t>
  </si>
  <si>
    <t>24-25</t>
  </si>
  <si>
    <t>Long term premiums not accounted</t>
  </si>
  <si>
    <t>“IRDAI has recently revised the formats for reporting and they have excluded premium from long term policies from reporting of premiums with effect from October 1, 2024. It is assumed that all companies have deducted the long term premiums accordingly for the current year only following IRDAI formats. The figures have been obtained from the individual companies. United India's long term premium is provisional”</t>
  </si>
  <si>
    <t>Zurich Kotak General Insurance Co Ltd</t>
  </si>
  <si>
    <t>Long term premium + GDPI for year 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</si>
</sst>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color rgb="FFFF0000"/>
      <name val="Calibri"/>
      <family val="2"/>
      <scheme val="minor"/>
    </font>
    <font>
      <sz val="12"/>
      <name val="Calibri"/>
      <family val="2"/>
      <scheme val="minor"/>
    </font>
    <font>
      <b/>
      <sz val="12"/>
      <color rgb="FFFF0000"/>
      <name val="Calibri"/>
      <family val="2"/>
      <scheme val="minor"/>
    </font>
    <font>
      <sz val="11"/>
      <color rgb="FFFF0000"/>
      <name val="Calibri"/>
      <family val="2"/>
      <scheme val="minor"/>
    </font>
    <font>
      <sz val="12"/>
      <color rgb="FFEE0000"/>
      <name val="Calibri"/>
      <family val="2"/>
      <scheme val="minor"/>
    </font>
    <font>
      <b/>
      <sz val="11"/>
      <color theme="1"/>
      <name val="Aptos"/>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92">
    <xf numFmtId="0" fontId="0" fillId="0" borderId="0" xfId="0"/>
    <xf numFmtId="0" fontId="2" fillId="0" borderId="0" xfId="0" applyFont="1"/>
    <xf numFmtId="0" fontId="2" fillId="0" borderId="0" xfId="0" applyFont="1" applyAlignment="1">
      <alignment horizontal="center" vertical="center" wrapText="1"/>
    </xf>
    <xf numFmtId="0" fontId="2" fillId="0" borderId="11" xfId="0" applyFont="1" applyBorder="1"/>
    <xf numFmtId="0" fontId="2" fillId="0" borderId="0" xfId="0" applyFont="1" applyAlignment="1">
      <alignment vertical="center" wrapText="1"/>
    </xf>
    <xf numFmtId="0" fontId="0" fillId="0" borderId="12" xfId="0" applyBorder="1"/>
    <xf numFmtId="0" fontId="0" fillId="0" borderId="11" xfId="0" applyBorder="1"/>
    <xf numFmtId="164" fontId="0" fillId="0" borderId="1" xfId="2" applyFont="1" applyFill="1" applyBorder="1"/>
    <xf numFmtId="164" fontId="0" fillId="0" borderId="0" xfId="0" applyNumberFormat="1"/>
    <xf numFmtId="164" fontId="0" fillId="0" borderId="17" xfId="0" applyNumberFormat="1" applyBorder="1"/>
    <xf numFmtId="164" fontId="0" fillId="0" borderId="0" xfId="2" applyFont="1" applyFill="1" applyBorder="1"/>
    <xf numFmtId="164" fontId="0" fillId="0" borderId="0" xfId="2" applyFont="1"/>
    <xf numFmtId="0" fontId="4" fillId="0" borderId="0" xfId="0" applyFont="1"/>
    <xf numFmtId="0" fontId="3" fillId="0" borderId="0" xfId="0" applyFont="1"/>
    <xf numFmtId="0" fontId="3" fillId="0" borderId="1" xfId="0" applyFont="1" applyBorder="1" applyAlignment="1">
      <alignment horizontal="center" vertical="center" wrapText="1"/>
    </xf>
    <xf numFmtId="0" fontId="3" fillId="0" borderId="1" xfId="0" applyFont="1" applyBorder="1"/>
    <xf numFmtId="0" fontId="4" fillId="0" borderId="1" xfId="0" applyFont="1" applyBorder="1"/>
    <xf numFmtId="164" fontId="4" fillId="2" borderId="1" xfId="2" applyFont="1" applyFill="1" applyBorder="1"/>
    <xf numFmtId="2" fontId="4" fillId="0" borderId="1" xfId="0" applyNumberFormat="1" applyFont="1" applyBorder="1"/>
    <xf numFmtId="164" fontId="4" fillId="0" borderId="1" xfId="2" applyFont="1" applyBorder="1"/>
    <xf numFmtId="164" fontId="4" fillId="0" borderId="1" xfId="2" applyFont="1" applyFill="1" applyBorder="1"/>
    <xf numFmtId="164" fontId="3" fillId="0" borderId="1" xfId="2" applyFont="1" applyBorder="1"/>
    <xf numFmtId="2" fontId="3" fillId="0" borderId="1" xfId="0" applyNumberFormat="1" applyFont="1" applyBorder="1"/>
    <xf numFmtId="166" fontId="4" fillId="0" borderId="1" xfId="1" applyNumberFormat="1" applyFont="1" applyBorder="1"/>
    <xf numFmtId="0" fontId="4" fillId="0" borderId="12" xfId="0" applyFont="1" applyBorder="1"/>
    <xf numFmtId="0" fontId="3" fillId="0" borderId="6" xfId="0" applyFont="1" applyBorder="1" applyAlignment="1">
      <alignment horizontal="center" vertical="center" wrapText="1"/>
    </xf>
    <xf numFmtId="10" fontId="4" fillId="0" borderId="1" xfId="1" applyNumberFormat="1" applyFont="1" applyBorder="1"/>
    <xf numFmtId="10" fontId="4" fillId="0" borderId="1" xfId="0" applyNumberFormat="1" applyFont="1" applyBorder="1"/>
    <xf numFmtId="0" fontId="3" fillId="0" borderId="6" xfId="0" applyFont="1" applyBorder="1"/>
    <xf numFmtId="164" fontId="3" fillId="0" borderId="1" xfId="0" applyNumberFormat="1" applyFont="1" applyBorder="1"/>
    <xf numFmtId="10" fontId="3" fillId="0" borderId="1" xfId="1" applyNumberFormat="1" applyFont="1" applyBorder="1"/>
    <xf numFmtId="10" fontId="3" fillId="0" borderId="1" xfId="0" applyNumberFormat="1" applyFont="1" applyBorder="1"/>
    <xf numFmtId="0" fontId="4" fillId="0" borderId="6" xfId="0" applyFont="1" applyBorder="1"/>
    <xf numFmtId="0" fontId="4" fillId="0" borderId="16" xfId="0" applyFont="1" applyBorder="1"/>
    <xf numFmtId="166" fontId="3" fillId="0" borderId="1" xfId="1" applyNumberFormat="1" applyFont="1" applyBorder="1"/>
    <xf numFmtId="10" fontId="4" fillId="0" borderId="1" xfId="1" applyNumberFormat="1" applyFont="1" applyBorder="1" applyAlignment="1">
      <alignment horizontal="right"/>
    </xf>
    <xf numFmtId="10" fontId="4" fillId="0" borderId="1" xfId="0" applyNumberFormat="1" applyFont="1" applyBorder="1" applyAlignment="1">
      <alignment horizontal="right"/>
    </xf>
    <xf numFmtId="0" fontId="3" fillId="0" borderId="1" xfId="0" applyFont="1" applyBorder="1" applyAlignment="1">
      <alignment vertical="center" wrapText="1"/>
    </xf>
    <xf numFmtId="0" fontId="3" fillId="0" borderId="14" xfId="0" applyFont="1" applyBorder="1" applyAlignment="1">
      <alignment vertical="center" wrapText="1"/>
    </xf>
    <xf numFmtId="0" fontId="3" fillId="0" borderId="14" xfId="0" applyFont="1" applyBorder="1" applyAlignment="1">
      <alignment horizontal="center" vertical="center" wrapText="1"/>
    </xf>
    <xf numFmtId="0" fontId="3" fillId="0" borderId="7" xfId="0" applyFont="1" applyBorder="1" applyAlignment="1">
      <alignment vertical="center" wrapText="1"/>
    </xf>
    <xf numFmtId="0" fontId="3" fillId="0" borderId="14" xfId="0" applyFont="1" applyBorder="1"/>
    <xf numFmtId="0" fontId="3" fillId="0" borderId="7" xfId="0" applyFont="1" applyBorder="1"/>
    <xf numFmtId="165" fontId="4" fillId="0" borderId="1" xfId="2" applyNumberFormat="1" applyFont="1" applyBorder="1"/>
    <xf numFmtId="164" fontId="5" fillId="0" borderId="14" xfId="2" applyFont="1" applyBorder="1"/>
    <xf numFmtId="164" fontId="6" fillId="0" borderId="14" xfId="2" applyFont="1" applyBorder="1"/>
    <xf numFmtId="164" fontId="4" fillId="0" borderId="7" xfId="2" applyFont="1" applyBorder="1"/>
    <xf numFmtId="164" fontId="4" fillId="0" borderId="14" xfId="2" applyFont="1" applyBorder="1"/>
    <xf numFmtId="165" fontId="3" fillId="0" borderId="1" xfId="2" applyNumberFormat="1" applyFont="1" applyBorder="1"/>
    <xf numFmtId="164" fontId="7" fillId="0" borderId="1" xfId="2" applyFont="1" applyBorder="1"/>
    <xf numFmtId="164" fontId="5" fillId="0" borderId="1" xfId="2" applyFont="1" applyBorder="1"/>
    <xf numFmtId="164" fontId="3" fillId="0" borderId="14" xfId="2" applyFont="1" applyBorder="1"/>
    <xf numFmtId="164" fontId="3" fillId="0" borderId="7" xfId="2" applyFont="1" applyBorder="1"/>
    <xf numFmtId="164" fontId="7" fillId="0" borderId="14" xfId="2" applyFont="1" applyBorder="1"/>
    <xf numFmtId="0" fontId="4" fillId="0" borderId="8" xfId="0" applyFont="1" applyBorder="1"/>
    <xf numFmtId="10" fontId="4" fillId="0" borderId="9" xfId="1" applyNumberFormat="1" applyFont="1" applyBorder="1"/>
    <xf numFmtId="10" fontId="4" fillId="0" borderId="15" xfId="1" applyNumberFormat="1" applyFont="1" applyBorder="1"/>
    <xf numFmtId="10" fontId="4" fillId="0" borderId="10" xfId="1" applyNumberFormat="1" applyFont="1" applyBorder="1"/>
    <xf numFmtId="0" fontId="0" fillId="0" borderId="0" xfId="0" applyAlignment="1">
      <alignment horizontal="center"/>
    </xf>
    <xf numFmtId="166" fontId="0" fillId="0" borderId="0" xfId="1" applyNumberFormat="1" applyFont="1"/>
    <xf numFmtId="0" fontId="4" fillId="0" borderId="1" xfId="0" applyFont="1" applyBorder="1" applyAlignment="1">
      <alignment vertical="justify" wrapText="1"/>
    </xf>
    <xf numFmtId="164" fontId="0" fillId="0" borderId="1" xfId="2" applyFont="1" applyBorder="1"/>
    <xf numFmtId="165" fontId="0" fillId="0" borderId="1" xfId="2" applyNumberFormat="1" applyFont="1" applyBorder="1"/>
    <xf numFmtId="0" fontId="0" fillId="0" borderId="1" xfId="0" applyBorder="1"/>
    <xf numFmtId="164" fontId="8" fillId="0" borderId="1" xfId="2" applyFont="1" applyBorder="1"/>
    <xf numFmtId="164" fontId="5" fillId="0" borderId="1" xfId="2" applyFont="1" applyFill="1" applyBorder="1"/>
    <xf numFmtId="0" fontId="8" fillId="0" borderId="1" xfId="0" applyFont="1" applyBorder="1"/>
    <xf numFmtId="164" fontId="3" fillId="0" borderId="1" xfId="2" applyFont="1" applyFill="1" applyBorder="1"/>
    <xf numFmtId="164" fontId="8" fillId="0" borderId="18" xfId="2" applyFont="1" applyFill="1" applyBorder="1"/>
    <xf numFmtId="164" fontId="1" fillId="0" borderId="1" xfId="2" applyFont="1" applyFill="1" applyBorder="1"/>
    <xf numFmtId="0" fontId="4" fillId="0" borderId="6" xfId="0" applyFont="1" applyBorder="1" applyAlignment="1">
      <alignment horizontal="left"/>
    </xf>
    <xf numFmtId="10" fontId="0" fillId="0" borderId="0" xfId="1" applyNumberFormat="1" applyFont="1"/>
    <xf numFmtId="10" fontId="0" fillId="0" borderId="0" xfId="0" applyNumberFormat="1"/>
    <xf numFmtId="164" fontId="3" fillId="3" borderId="1" xfId="2" applyFont="1" applyFill="1" applyBorder="1"/>
    <xf numFmtId="164" fontId="6" fillId="0" borderId="1" xfId="2" applyFont="1" applyFill="1" applyBorder="1"/>
    <xf numFmtId="164" fontId="6" fillId="0" borderId="1" xfId="2" applyFont="1" applyBorder="1"/>
    <xf numFmtId="164" fontId="9" fillId="0" borderId="1" xfId="2" applyFont="1" applyFill="1" applyBorder="1"/>
    <xf numFmtId="164" fontId="6" fillId="0" borderId="14" xfId="2" applyFont="1" applyFill="1" applyBorder="1"/>
    <xf numFmtId="0" fontId="11" fillId="0" borderId="0" xfId="0" applyFont="1"/>
    <xf numFmtId="164" fontId="11" fillId="0" borderId="0" xfId="0" applyNumberFormat="1" applyFont="1"/>
    <xf numFmtId="164" fontId="5" fillId="2" borderId="1" xfId="2" applyFont="1" applyFill="1" applyBorder="1"/>
    <xf numFmtId="0" fontId="10" fillId="0" borderId="0" xfId="0" applyFont="1" applyAlignment="1">
      <alignment horizontal="left" vertical="center" wrapText="1"/>
    </xf>
    <xf numFmtId="0" fontId="3" fillId="0" borderId="0" xfId="0" applyFont="1" applyAlignment="1">
      <alignment horizontal="center" vertical="center" wrapText="1"/>
    </xf>
    <xf numFmtId="0" fontId="4" fillId="0" borderId="2" xfId="0" applyFont="1" applyBorder="1"/>
    <xf numFmtId="0" fontId="0" fillId="0" borderId="0" xfId="0" applyAlignment="1">
      <alignment horizontal="center"/>
    </xf>
    <xf numFmtId="0" fontId="3" fillId="0" borderId="13" xfId="0" applyFont="1" applyBorder="1" applyAlignment="1">
      <alignment horizontal="center" wrapText="1"/>
    </xf>
    <xf numFmtId="0" fontId="3" fillId="0" borderId="11" xfId="0" applyFont="1" applyBorder="1" applyAlignment="1">
      <alignment horizontal="center" wrapText="1"/>
    </xf>
    <xf numFmtId="0" fontId="0" fillId="0" borderId="2" xfId="0" applyBorder="1"/>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165" fontId="1" fillId="0" borderId="1" xfId="2" applyNumberFormat="1" applyFont="1" applyBorder="1"/>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93"/>
  <sheetViews>
    <sheetView topLeftCell="E30" zoomScale="106" zoomScaleNormal="106" workbookViewId="0">
      <selection activeCell="J46" sqref="J46"/>
    </sheetView>
  </sheetViews>
  <sheetFormatPr defaultRowHeight="14.4" x14ac:dyDescent="0.3"/>
  <cols>
    <col min="1" max="1" width="43" customWidth="1"/>
    <col min="2" max="3" width="18.21875" customWidth="1"/>
    <col min="4" max="4" width="13.77734375" customWidth="1"/>
    <col min="5" max="5" width="15.109375" customWidth="1"/>
    <col min="6" max="6" width="13" customWidth="1"/>
    <col min="7" max="7" width="14.44140625" customWidth="1"/>
    <col min="8" max="8" width="13.33203125" customWidth="1"/>
    <col min="9" max="9" width="13.109375" customWidth="1"/>
    <col min="10" max="10" width="11.77734375" customWidth="1"/>
    <col min="11" max="11" width="13.6640625" customWidth="1"/>
    <col min="12" max="12" width="12.33203125" customWidth="1"/>
    <col min="13" max="13" width="16.77734375" customWidth="1"/>
    <col min="14" max="15" width="13.77734375" customWidth="1"/>
    <col min="16" max="16" width="16.77734375" customWidth="1"/>
    <col min="17" max="17" width="11" customWidth="1"/>
    <col min="18" max="18" width="10.44140625" bestFit="1" customWidth="1"/>
    <col min="19" max="19" width="10.44140625" customWidth="1"/>
  </cols>
  <sheetData>
    <row r="1" spans="1:19" ht="15.6" x14ac:dyDescent="0.3">
      <c r="A1" s="82" t="s">
        <v>104</v>
      </c>
      <c r="B1" s="82"/>
      <c r="C1" s="82"/>
      <c r="D1" s="82"/>
      <c r="E1" s="82"/>
      <c r="F1" s="82"/>
      <c r="G1" s="82"/>
      <c r="H1" s="82"/>
      <c r="I1" s="82"/>
      <c r="J1" s="82"/>
      <c r="K1" s="82"/>
      <c r="L1" s="82"/>
      <c r="M1" s="82"/>
      <c r="N1" s="82"/>
      <c r="O1" s="82"/>
      <c r="P1" s="82"/>
    </row>
    <row r="2" spans="1:19" ht="15.6" x14ac:dyDescent="0.3">
      <c r="A2" s="12"/>
      <c r="B2" s="12"/>
      <c r="C2" s="12"/>
      <c r="D2" s="12"/>
      <c r="E2" s="12"/>
      <c r="F2" s="12"/>
      <c r="G2" s="12"/>
      <c r="H2" s="12"/>
      <c r="I2" s="12"/>
      <c r="J2" s="12"/>
      <c r="K2" s="12"/>
      <c r="L2" s="12"/>
      <c r="M2" s="12"/>
      <c r="N2" s="12"/>
      <c r="O2" s="12"/>
      <c r="P2" s="13" t="s">
        <v>0</v>
      </c>
    </row>
    <row r="3" spans="1:19" s="2" customFormat="1" ht="61.5" customHeight="1" x14ac:dyDescent="0.3">
      <c r="A3" s="14" t="s">
        <v>1</v>
      </c>
      <c r="B3" s="14" t="s">
        <v>2</v>
      </c>
      <c r="C3" s="14" t="s">
        <v>112</v>
      </c>
      <c r="D3" s="14" t="s">
        <v>3</v>
      </c>
      <c r="E3" s="14" t="s">
        <v>4</v>
      </c>
      <c r="F3" s="14" t="s">
        <v>5</v>
      </c>
      <c r="G3" s="14" t="s">
        <v>6</v>
      </c>
      <c r="H3" s="14" t="s">
        <v>7</v>
      </c>
      <c r="I3" s="14" t="s">
        <v>8</v>
      </c>
      <c r="J3" s="14" t="s">
        <v>9</v>
      </c>
      <c r="K3" s="14" t="s">
        <v>10</v>
      </c>
      <c r="L3" s="14" t="s">
        <v>94</v>
      </c>
      <c r="M3" s="14" t="s">
        <v>11</v>
      </c>
      <c r="N3" s="14" t="s">
        <v>12</v>
      </c>
      <c r="O3" s="14" t="s">
        <v>13</v>
      </c>
      <c r="P3" s="14" t="s">
        <v>14</v>
      </c>
    </row>
    <row r="4" spans="1:19" ht="15.6" x14ac:dyDescent="0.3">
      <c r="A4" s="15" t="s">
        <v>15</v>
      </c>
      <c r="B4" s="16"/>
      <c r="C4" s="16"/>
      <c r="D4" s="16"/>
      <c r="E4" s="16"/>
      <c r="F4" s="16"/>
      <c r="G4" s="16"/>
      <c r="H4" s="16"/>
      <c r="I4" s="16"/>
      <c r="J4" s="16"/>
      <c r="K4" s="16"/>
      <c r="L4" s="16"/>
      <c r="M4" s="16"/>
      <c r="N4" s="16"/>
      <c r="O4" s="16"/>
      <c r="P4" s="16"/>
    </row>
    <row r="5" spans="1:19" ht="15.6" x14ac:dyDescent="0.3">
      <c r="A5" s="16" t="s">
        <v>16</v>
      </c>
      <c r="B5" s="61">
        <v>2064.67</v>
      </c>
      <c r="C5" s="61">
        <v>75.349999999999994</v>
      </c>
      <c r="D5" s="61">
        <v>2064.67</v>
      </c>
      <c r="E5" s="61">
        <v>1546.72</v>
      </c>
      <c r="F5" s="61">
        <v>1522.3</v>
      </c>
      <c r="G5" s="61">
        <v>1372.95</v>
      </c>
      <c r="H5" s="61">
        <v>1064.81</v>
      </c>
      <c r="I5" s="61">
        <v>154.66</v>
      </c>
      <c r="J5" s="61">
        <v>710.27</v>
      </c>
      <c r="K5" s="80">
        <f>F5-H5-I5-J5</f>
        <v>-407.43999999999994</v>
      </c>
      <c r="L5" s="18"/>
      <c r="M5" s="19">
        <v>0.01</v>
      </c>
      <c r="N5" s="19">
        <v>334.78</v>
      </c>
      <c r="O5" s="61">
        <v>158.05000000000001</v>
      </c>
      <c r="P5" s="74">
        <f t="shared" ref="P5:P24" si="0">SUM(K5:O5)</f>
        <v>85.400000000000034</v>
      </c>
      <c r="R5" s="11"/>
      <c r="S5" s="11"/>
    </row>
    <row r="6" spans="1:19" ht="15.6" x14ac:dyDescent="0.3">
      <c r="A6" s="16" t="s">
        <v>17</v>
      </c>
      <c r="B6" s="61">
        <v>21416.81</v>
      </c>
      <c r="C6" s="61">
        <v>550.32000000000005</v>
      </c>
      <c r="D6" s="61">
        <v>21582.92</v>
      </c>
      <c r="E6" s="61">
        <v>9060.58</v>
      </c>
      <c r="F6" s="61">
        <v>9564.51</v>
      </c>
      <c r="G6" s="61">
        <v>15062.25</v>
      </c>
      <c r="H6" s="61">
        <v>7134.03</v>
      </c>
      <c r="I6" s="61">
        <v>376.05</v>
      </c>
      <c r="J6" s="61">
        <v>2131.9</v>
      </c>
      <c r="K6" s="80">
        <f t="shared" ref="K6:K24" si="1">F6-H6-I6-J6</f>
        <v>-77.4699999999998</v>
      </c>
      <c r="L6" s="18"/>
      <c r="M6" s="19">
        <v>86.37</v>
      </c>
      <c r="N6" s="19">
        <v>0</v>
      </c>
      <c r="O6" s="61">
        <v>1859.07</v>
      </c>
      <c r="P6" s="20">
        <f t="shared" si="0"/>
        <v>1867.9700000000003</v>
      </c>
      <c r="R6" s="11"/>
      <c r="S6" s="11"/>
    </row>
    <row r="7" spans="1:19" ht="15.6" x14ac:dyDescent="0.3">
      <c r="A7" s="16" t="s">
        <v>18</v>
      </c>
      <c r="B7" s="61">
        <v>8124.3</v>
      </c>
      <c r="C7" s="61">
        <v>249.47</v>
      </c>
      <c r="D7" s="61">
        <v>8327.67</v>
      </c>
      <c r="E7" s="61">
        <v>5998.41</v>
      </c>
      <c r="F7" s="61">
        <v>5805.62</v>
      </c>
      <c r="G7" s="61">
        <v>5760.61</v>
      </c>
      <c r="H7" s="61">
        <v>4257.1400000000003</v>
      </c>
      <c r="I7" s="61">
        <v>1399.22</v>
      </c>
      <c r="J7" s="61">
        <v>809.94</v>
      </c>
      <c r="K7" s="80">
        <f t="shared" si="1"/>
        <v>-660.68000000000052</v>
      </c>
      <c r="L7" s="18"/>
      <c r="M7" s="19">
        <v>3.48</v>
      </c>
      <c r="N7" s="19">
        <v>215.34</v>
      </c>
      <c r="O7" s="61">
        <v>1098.8699999999999</v>
      </c>
      <c r="P7" s="20">
        <f t="shared" si="0"/>
        <v>657.00999999999942</v>
      </c>
      <c r="R7" s="11"/>
      <c r="S7" s="11"/>
    </row>
    <row r="8" spans="1:19" ht="15.6" x14ac:dyDescent="0.3">
      <c r="A8" s="16" t="s">
        <v>20</v>
      </c>
      <c r="B8" s="61">
        <v>5408.16</v>
      </c>
      <c r="C8" s="61">
        <v>36.26</v>
      </c>
      <c r="D8" s="61">
        <v>5547.54</v>
      </c>
      <c r="E8" s="61">
        <v>3683.22</v>
      </c>
      <c r="F8" s="61">
        <v>3753.3</v>
      </c>
      <c r="G8" s="61">
        <v>4070.41</v>
      </c>
      <c r="H8" s="61">
        <v>2960.75</v>
      </c>
      <c r="I8" s="61">
        <v>549.82000000000005</v>
      </c>
      <c r="J8" s="61">
        <v>664.02</v>
      </c>
      <c r="K8" s="80">
        <f t="shared" si="1"/>
        <v>-421.28999999999985</v>
      </c>
      <c r="L8" s="18"/>
      <c r="M8" s="19">
        <v>13.95</v>
      </c>
      <c r="N8" s="19"/>
      <c r="O8" s="61">
        <v>450.96</v>
      </c>
      <c r="P8" s="20">
        <f t="shared" si="0"/>
        <v>43.620000000000118</v>
      </c>
      <c r="R8" s="11"/>
      <c r="S8" s="11"/>
    </row>
    <row r="9" spans="1:19" ht="15.6" x14ac:dyDescent="0.3">
      <c r="A9" s="16" t="s">
        <v>21</v>
      </c>
      <c r="B9" s="61">
        <v>8472.16</v>
      </c>
      <c r="C9" s="61">
        <v>136.5</v>
      </c>
      <c r="D9" s="61">
        <v>10282.14</v>
      </c>
      <c r="E9" s="61">
        <v>8230.81</v>
      </c>
      <c r="F9" s="61">
        <v>8045.97</v>
      </c>
      <c r="G9" s="61">
        <v>6993.3</v>
      </c>
      <c r="H9" s="61">
        <v>5858.96</v>
      </c>
      <c r="I9" s="61">
        <v>2228.37</v>
      </c>
      <c r="J9" s="61">
        <v>777.62</v>
      </c>
      <c r="K9" s="80">
        <f t="shared" si="1"/>
        <v>-818.97999999999968</v>
      </c>
      <c r="L9" s="18"/>
      <c r="M9" s="19">
        <v>0.44</v>
      </c>
      <c r="N9" s="19">
        <v>324.01</v>
      </c>
      <c r="O9" s="61">
        <v>1109.0999999999999</v>
      </c>
      <c r="P9" s="20">
        <f t="shared" si="0"/>
        <v>614.57000000000028</v>
      </c>
      <c r="R9" s="11"/>
      <c r="S9" s="11"/>
    </row>
    <row r="10" spans="1:19" ht="15.6" x14ac:dyDescent="0.3">
      <c r="A10" s="16" t="s">
        <v>22</v>
      </c>
      <c r="B10" s="61">
        <v>15817.28</v>
      </c>
      <c r="C10" s="61">
        <v>1147.96</v>
      </c>
      <c r="D10" s="61">
        <v>16229.41</v>
      </c>
      <c r="E10" s="61">
        <v>7172.22</v>
      </c>
      <c r="F10" s="61">
        <v>9030.07</v>
      </c>
      <c r="G10" s="61">
        <v>14669.39</v>
      </c>
      <c r="H10" s="61">
        <v>8078.82</v>
      </c>
      <c r="I10" s="61">
        <v>534.83000000000004</v>
      </c>
      <c r="J10" s="61">
        <v>1852.25</v>
      </c>
      <c r="K10" s="80">
        <f t="shared" si="1"/>
        <v>-1435.83</v>
      </c>
      <c r="L10" s="18"/>
      <c r="M10" s="19">
        <v>11.05</v>
      </c>
      <c r="N10" s="19"/>
      <c r="O10" s="61">
        <v>1746.5</v>
      </c>
      <c r="P10" s="20">
        <f t="shared" si="0"/>
        <v>321.72000000000003</v>
      </c>
      <c r="R10" s="11"/>
      <c r="S10" s="11"/>
    </row>
    <row r="11" spans="1:19" ht="15.6" x14ac:dyDescent="0.3">
      <c r="A11" s="16" t="s">
        <v>23</v>
      </c>
      <c r="B11" s="61">
        <v>26833.360000000001</v>
      </c>
      <c r="C11" s="61">
        <v>658.98</v>
      </c>
      <c r="D11" s="61">
        <v>28257.74</v>
      </c>
      <c r="E11" s="61">
        <v>20761.060000000001</v>
      </c>
      <c r="F11" s="61">
        <v>19800.2</v>
      </c>
      <c r="G11" s="61">
        <v>17454.650000000001</v>
      </c>
      <c r="H11" s="61">
        <v>13986.81</v>
      </c>
      <c r="I11" s="61">
        <v>3838.03</v>
      </c>
      <c r="J11" s="61">
        <v>2844.84</v>
      </c>
      <c r="K11" s="80">
        <f t="shared" si="1"/>
        <v>-869.47999999999911</v>
      </c>
      <c r="L11" s="18"/>
      <c r="M11" s="19">
        <v>-19.5</v>
      </c>
      <c r="N11" s="19"/>
      <c r="O11" s="61">
        <v>3155.9</v>
      </c>
      <c r="P11" s="20">
        <f t="shared" si="0"/>
        <v>2266.920000000001</v>
      </c>
      <c r="R11" s="11"/>
      <c r="S11" s="11"/>
    </row>
    <row r="12" spans="1:19" ht="15.6" x14ac:dyDescent="0.3">
      <c r="A12" s="16" t="s">
        <v>24</v>
      </c>
      <c r="B12" s="61">
        <v>8312.34</v>
      </c>
      <c r="C12" s="61">
        <v>43.38</v>
      </c>
      <c r="D12" s="61">
        <v>8506.81</v>
      </c>
      <c r="E12" s="61">
        <v>5772.89</v>
      </c>
      <c r="F12" s="61">
        <v>5679.21</v>
      </c>
      <c r="G12" s="61">
        <v>6638.03</v>
      </c>
      <c r="H12" s="61">
        <v>5015.2700000000004</v>
      </c>
      <c r="I12" s="61">
        <v>832.88</v>
      </c>
      <c r="J12" s="61">
        <v>942.65</v>
      </c>
      <c r="K12" s="80">
        <f t="shared" si="1"/>
        <v>-1111.5900000000004</v>
      </c>
      <c r="L12" s="18"/>
      <c r="M12" s="19">
        <v>0.3</v>
      </c>
      <c r="N12" s="19"/>
      <c r="O12" s="61">
        <v>1025.9000000000001</v>
      </c>
      <c r="P12" s="65">
        <f t="shared" si="0"/>
        <v>-85.390000000000327</v>
      </c>
      <c r="R12" s="11"/>
      <c r="S12" s="11"/>
    </row>
    <row r="13" spans="1:19" ht="15.6" x14ac:dyDescent="0.3">
      <c r="A13" s="16" t="s">
        <v>90</v>
      </c>
      <c r="B13" s="61">
        <v>771.46</v>
      </c>
      <c r="C13" s="61">
        <v>0</v>
      </c>
      <c r="D13" s="61">
        <v>771.46</v>
      </c>
      <c r="E13" s="61">
        <v>530.45000000000005</v>
      </c>
      <c r="F13" s="61">
        <v>530.38</v>
      </c>
      <c r="G13" s="61">
        <v>511.2</v>
      </c>
      <c r="H13" s="61">
        <v>348.59</v>
      </c>
      <c r="I13" s="61">
        <v>-9.91</v>
      </c>
      <c r="J13" s="61">
        <v>165.48</v>
      </c>
      <c r="K13" s="17">
        <f t="shared" si="1"/>
        <v>26.220000000000027</v>
      </c>
      <c r="L13" s="18"/>
      <c r="M13" s="19">
        <v>-0.09</v>
      </c>
      <c r="N13" s="19"/>
      <c r="O13" s="61">
        <v>18.940000000000001</v>
      </c>
      <c r="P13" s="20">
        <f t="shared" si="0"/>
        <v>45.070000000000029</v>
      </c>
      <c r="R13" s="11"/>
      <c r="S13" s="11"/>
    </row>
    <row r="14" spans="1:19" ht="15.6" x14ac:dyDescent="0.3">
      <c r="A14" s="16" t="s">
        <v>25</v>
      </c>
      <c r="B14" s="61">
        <v>2246.44</v>
      </c>
      <c r="C14" s="61">
        <v>5.7</v>
      </c>
      <c r="D14" s="61">
        <v>2534.1799999999998</v>
      </c>
      <c r="E14" s="61">
        <v>2283.9699999999998</v>
      </c>
      <c r="F14" s="61">
        <v>2161.41</v>
      </c>
      <c r="G14" s="61">
        <v>1861.9</v>
      </c>
      <c r="H14" s="61">
        <v>1740.78</v>
      </c>
      <c r="I14" s="61">
        <v>508.15</v>
      </c>
      <c r="J14" s="61">
        <v>348.53</v>
      </c>
      <c r="K14" s="80">
        <f t="shared" si="1"/>
        <v>-436.05000000000007</v>
      </c>
      <c r="L14" s="18"/>
      <c r="M14" s="19">
        <v>2.67</v>
      </c>
      <c r="N14" s="19">
        <v>93.14</v>
      </c>
      <c r="O14" s="61">
        <v>247.8</v>
      </c>
      <c r="P14" s="65">
        <f t="shared" si="0"/>
        <v>-92.440000000000055</v>
      </c>
      <c r="R14" s="11"/>
      <c r="S14" s="11"/>
    </row>
    <row r="15" spans="1:19" ht="15.6" x14ac:dyDescent="0.3">
      <c r="A15" s="16" t="s">
        <v>26</v>
      </c>
      <c r="B15" s="61">
        <v>3334.4</v>
      </c>
      <c r="C15" s="61">
        <v>31.07</v>
      </c>
      <c r="D15" s="61">
        <v>3634.95</v>
      </c>
      <c r="E15" s="61">
        <v>3042.67</v>
      </c>
      <c r="F15" s="61">
        <v>3008.64</v>
      </c>
      <c r="G15" s="61">
        <v>2618.23</v>
      </c>
      <c r="H15" s="61">
        <v>2400.9499999999998</v>
      </c>
      <c r="I15" s="61">
        <v>689.21</v>
      </c>
      <c r="J15" s="61">
        <v>381.71</v>
      </c>
      <c r="K15" s="80">
        <f t="shared" si="1"/>
        <v>-463.22999999999996</v>
      </c>
      <c r="L15" s="18">
        <v>0.43</v>
      </c>
      <c r="M15" s="19">
        <v>0.99</v>
      </c>
      <c r="N15" s="19">
        <v>58.22</v>
      </c>
      <c r="O15" s="61">
        <v>434.78</v>
      </c>
      <c r="P15" s="74">
        <f t="shared" si="0"/>
        <v>31.190000000000055</v>
      </c>
      <c r="R15" s="11"/>
      <c r="S15" s="11"/>
    </row>
    <row r="16" spans="1:19" ht="15.6" x14ac:dyDescent="0.3">
      <c r="A16" s="16" t="s">
        <v>27</v>
      </c>
      <c r="B16" s="61">
        <v>99.53</v>
      </c>
      <c r="C16" s="61">
        <v>0</v>
      </c>
      <c r="D16" s="61">
        <v>101.03</v>
      </c>
      <c r="E16" s="61">
        <v>90.56</v>
      </c>
      <c r="F16" s="61">
        <v>79.95</v>
      </c>
      <c r="G16" s="61">
        <v>74.599999999999994</v>
      </c>
      <c r="H16" s="61">
        <v>73.44</v>
      </c>
      <c r="I16" s="61">
        <v>5.26</v>
      </c>
      <c r="J16" s="61">
        <v>28.86</v>
      </c>
      <c r="K16" s="80">
        <f t="shared" si="1"/>
        <v>-27.609999999999992</v>
      </c>
      <c r="L16" s="18"/>
      <c r="M16" s="19">
        <v>0</v>
      </c>
      <c r="N16" s="19">
        <v>4.95</v>
      </c>
      <c r="O16" s="61">
        <v>40.840000000000003</v>
      </c>
      <c r="P16" s="20">
        <f t="shared" si="0"/>
        <v>18.18000000000001</v>
      </c>
      <c r="R16" s="11"/>
      <c r="S16" s="11"/>
    </row>
    <row r="17" spans="1:21" ht="15.6" x14ac:dyDescent="0.3">
      <c r="A17" s="16" t="s">
        <v>28</v>
      </c>
      <c r="B17" s="61">
        <v>353.22</v>
      </c>
      <c r="C17" s="61">
        <v>1.49</v>
      </c>
      <c r="D17" s="61">
        <v>511.5</v>
      </c>
      <c r="E17" s="61">
        <v>433.06</v>
      </c>
      <c r="F17" s="61">
        <v>431.16</v>
      </c>
      <c r="G17" s="61">
        <v>465.57</v>
      </c>
      <c r="H17" s="61">
        <v>385.74</v>
      </c>
      <c r="I17" s="61">
        <v>87.32</v>
      </c>
      <c r="J17" s="61">
        <v>74.8</v>
      </c>
      <c r="K17" s="80">
        <f t="shared" si="1"/>
        <v>-116.69999999999997</v>
      </c>
      <c r="L17" s="18"/>
      <c r="M17" s="19"/>
      <c r="N17" s="19">
        <v>14.99</v>
      </c>
      <c r="O17" s="61">
        <v>53.86</v>
      </c>
      <c r="P17" s="65">
        <f t="shared" si="0"/>
        <v>-47.84999999999998</v>
      </c>
      <c r="R17" s="11"/>
      <c r="S17" s="11"/>
    </row>
    <row r="18" spans="1:21" ht="15.6" x14ac:dyDescent="0.3">
      <c r="A18" s="16" t="s">
        <v>29</v>
      </c>
      <c r="B18" s="61">
        <v>12548.38</v>
      </c>
      <c r="C18" s="61">
        <v>133.96</v>
      </c>
      <c r="D18" s="61">
        <v>12666.81</v>
      </c>
      <c r="E18" s="61">
        <v>7248.73</v>
      </c>
      <c r="F18" s="61">
        <v>7124.68</v>
      </c>
      <c r="G18" s="61">
        <v>9343.06</v>
      </c>
      <c r="H18" s="61">
        <v>5887.38</v>
      </c>
      <c r="I18" s="61">
        <v>1063.81</v>
      </c>
      <c r="J18" s="61">
        <v>1400.57</v>
      </c>
      <c r="K18" s="80">
        <f t="shared" si="1"/>
        <v>-1227.0799999999997</v>
      </c>
      <c r="L18" s="18"/>
      <c r="M18" s="19">
        <v>47.81</v>
      </c>
      <c r="N18" s="19"/>
      <c r="O18" s="61">
        <v>1416.03</v>
      </c>
      <c r="P18" s="20">
        <f t="shared" si="0"/>
        <v>236.76000000000022</v>
      </c>
      <c r="R18" s="11"/>
      <c r="S18" s="11"/>
    </row>
    <row r="19" spans="1:21" ht="15.6" x14ac:dyDescent="0.3">
      <c r="A19" s="16" t="s">
        <v>30</v>
      </c>
      <c r="B19" s="61">
        <v>3763.18</v>
      </c>
      <c r="C19" s="61">
        <v>14.13</v>
      </c>
      <c r="D19" s="61">
        <v>4064.5</v>
      </c>
      <c r="E19" s="61">
        <v>3375.38</v>
      </c>
      <c r="F19" s="61">
        <v>3302.61</v>
      </c>
      <c r="G19" s="61">
        <v>3219.82</v>
      </c>
      <c r="H19" s="61">
        <v>2617.35</v>
      </c>
      <c r="I19" s="61">
        <v>766.39</v>
      </c>
      <c r="J19" s="61">
        <v>383.66</v>
      </c>
      <c r="K19" s="80">
        <f t="shared" si="1"/>
        <v>-464.78999999999979</v>
      </c>
      <c r="L19" s="18"/>
      <c r="M19" s="19">
        <v>0.42</v>
      </c>
      <c r="N19" s="19"/>
      <c r="O19" s="61">
        <v>567.77</v>
      </c>
      <c r="P19" s="20">
        <f t="shared" si="0"/>
        <v>103.4000000000002</v>
      </c>
      <c r="R19" s="11"/>
      <c r="S19" s="11"/>
    </row>
    <row r="20" spans="1:21" ht="15.6" x14ac:dyDescent="0.3">
      <c r="A20" s="16" t="s">
        <v>31</v>
      </c>
      <c r="B20" s="61">
        <v>13889.67</v>
      </c>
      <c r="C20" s="61">
        <v>475.28</v>
      </c>
      <c r="D20" s="61">
        <v>14140.24</v>
      </c>
      <c r="E20" s="61">
        <v>9250.24</v>
      </c>
      <c r="F20" s="61">
        <v>8804.24</v>
      </c>
      <c r="G20" s="61">
        <v>9966.84</v>
      </c>
      <c r="H20" s="61">
        <v>7256</v>
      </c>
      <c r="I20" s="61">
        <v>1088.5899999999999</v>
      </c>
      <c r="J20" s="61">
        <v>1445.22</v>
      </c>
      <c r="K20" s="80">
        <f t="shared" si="1"/>
        <v>-985.57000000000016</v>
      </c>
      <c r="L20" s="18"/>
      <c r="M20" s="19">
        <v>13.93</v>
      </c>
      <c r="N20" s="19"/>
      <c r="O20" s="61">
        <v>1101.42</v>
      </c>
      <c r="P20" s="74">
        <f t="shared" si="0"/>
        <v>129.77999999999986</v>
      </c>
      <c r="R20" s="11"/>
      <c r="S20" s="11"/>
    </row>
    <row r="21" spans="1:21" ht="15.6" x14ac:dyDescent="0.3">
      <c r="A21" s="16" t="s">
        <v>32</v>
      </c>
      <c r="B21" s="61">
        <v>3753.38</v>
      </c>
      <c r="C21" s="61">
        <v>2.9</v>
      </c>
      <c r="D21" s="61">
        <v>3985.19</v>
      </c>
      <c r="E21" s="61">
        <v>3496.91</v>
      </c>
      <c r="F21" s="61">
        <v>3138.6</v>
      </c>
      <c r="G21" s="61">
        <v>2253.77</v>
      </c>
      <c r="H21" s="61">
        <v>2123.13</v>
      </c>
      <c r="I21" s="61">
        <v>772.91</v>
      </c>
      <c r="J21" s="61">
        <v>393.71</v>
      </c>
      <c r="K21" s="80">
        <f t="shared" si="1"/>
        <v>-151.15000000000015</v>
      </c>
      <c r="L21" s="18"/>
      <c r="M21" s="19">
        <v>0.22</v>
      </c>
      <c r="N21" s="19">
        <v>48.02</v>
      </c>
      <c r="O21" s="61">
        <v>714.86</v>
      </c>
      <c r="P21" s="20">
        <f t="shared" si="0"/>
        <v>611.94999999999982</v>
      </c>
      <c r="R21" s="11"/>
      <c r="S21" s="11"/>
    </row>
    <row r="22" spans="1:21" ht="15.6" x14ac:dyDescent="0.3">
      <c r="A22" s="16" t="s">
        <v>33</v>
      </c>
      <c r="B22" s="61">
        <v>17702.830000000002</v>
      </c>
      <c r="C22" s="61">
        <v>455.69</v>
      </c>
      <c r="D22" s="61">
        <v>18159.57</v>
      </c>
      <c r="E22" s="61">
        <v>10964.45</v>
      </c>
      <c r="F22" s="61">
        <v>10577.27</v>
      </c>
      <c r="G22" s="61">
        <v>13384.99</v>
      </c>
      <c r="H22" s="61">
        <v>8176.22</v>
      </c>
      <c r="I22" s="61">
        <v>2777.16</v>
      </c>
      <c r="J22" s="61">
        <v>1853.04</v>
      </c>
      <c r="K22" s="80">
        <f t="shared" si="1"/>
        <v>-2229.1499999999996</v>
      </c>
      <c r="L22" s="18"/>
      <c r="M22" s="19">
        <v>8.25</v>
      </c>
      <c r="N22" s="19"/>
      <c r="O22" s="61">
        <v>2849.08</v>
      </c>
      <c r="P22" s="20">
        <f t="shared" si="0"/>
        <v>628.18000000000029</v>
      </c>
      <c r="R22" s="11"/>
      <c r="S22" s="11"/>
    </row>
    <row r="23" spans="1:21" ht="15.6" x14ac:dyDescent="0.3">
      <c r="A23" s="16" t="s">
        <v>34</v>
      </c>
      <c r="B23" s="61">
        <v>5078.45</v>
      </c>
      <c r="C23" s="61">
        <v>24.03</v>
      </c>
      <c r="D23" s="61">
        <v>5092.6400000000003</v>
      </c>
      <c r="E23" s="61">
        <v>2495.56</v>
      </c>
      <c r="F23" s="61">
        <v>2369.0100000000002</v>
      </c>
      <c r="G23" s="61">
        <v>3841.95</v>
      </c>
      <c r="H23" s="61">
        <v>1827.77</v>
      </c>
      <c r="I23" s="61">
        <v>175.34</v>
      </c>
      <c r="J23" s="61">
        <v>408.35</v>
      </c>
      <c r="K23" s="80">
        <f t="shared" si="1"/>
        <v>-42.449999999999818</v>
      </c>
      <c r="L23" s="18"/>
      <c r="M23" s="19">
        <v>-11.77</v>
      </c>
      <c r="N23" s="19"/>
      <c r="O23" s="61">
        <v>282.92</v>
      </c>
      <c r="P23" s="20">
        <f t="shared" si="0"/>
        <v>228.70000000000022</v>
      </c>
      <c r="R23" s="11"/>
      <c r="S23" s="11"/>
    </row>
    <row r="24" spans="1:21" ht="15.6" x14ac:dyDescent="0.3">
      <c r="A24" s="16" t="s">
        <v>19</v>
      </c>
      <c r="B24" s="61">
        <v>992.3</v>
      </c>
      <c r="C24" s="61">
        <v>12.05</v>
      </c>
      <c r="D24" s="61">
        <v>1012.19</v>
      </c>
      <c r="E24" s="61">
        <v>619.55999999999995</v>
      </c>
      <c r="F24" s="61">
        <v>582.5</v>
      </c>
      <c r="G24" s="61">
        <v>675.69</v>
      </c>
      <c r="H24" s="61">
        <v>464.7</v>
      </c>
      <c r="I24" s="61">
        <v>95.23</v>
      </c>
      <c r="J24" s="61">
        <v>185.65</v>
      </c>
      <c r="K24" s="80">
        <f t="shared" si="1"/>
        <v>-163.07999999999998</v>
      </c>
      <c r="L24" s="18"/>
      <c r="M24" s="19">
        <v>3.06</v>
      </c>
      <c r="N24" s="19">
        <v>87.21</v>
      </c>
      <c r="O24" s="19">
        <v>104.57</v>
      </c>
      <c r="P24" s="20">
        <f t="shared" si="0"/>
        <v>31.760000000000005</v>
      </c>
      <c r="R24" s="11"/>
      <c r="S24" s="11"/>
    </row>
    <row r="25" spans="1:21" ht="15.6" x14ac:dyDescent="0.3">
      <c r="A25" s="16" t="s">
        <v>114</v>
      </c>
      <c r="B25" s="61">
        <v>1915.38</v>
      </c>
      <c r="C25" s="61">
        <v>129.12</v>
      </c>
      <c r="D25" s="61">
        <v>2035.75</v>
      </c>
      <c r="E25" s="61">
        <v>1456.76</v>
      </c>
      <c r="F25" s="61">
        <v>1295.8399999999999</v>
      </c>
      <c r="G25" s="61">
        <v>1366.49</v>
      </c>
      <c r="H25" s="61">
        <v>966.7</v>
      </c>
      <c r="I25" s="61">
        <v>268.27</v>
      </c>
      <c r="J25" s="61">
        <v>375.53</v>
      </c>
      <c r="K25" s="80">
        <f t="shared" ref="K25" si="2">F25-H25-I25-J25</f>
        <v>-314.66000000000008</v>
      </c>
      <c r="L25" s="18">
        <v>-1.06</v>
      </c>
      <c r="M25" s="19">
        <v>5.9</v>
      </c>
      <c r="N25" s="19">
        <v>146.97999999999999</v>
      </c>
      <c r="O25" s="61">
        <v>181.6</v>
      </c>
      <c r="P25" s="20">
        <f t="shared" ref="P25" si="3">SUM(K25:O25)</f>
        <v>18.759999999999877</v>
      </c>
      <c r="R25" s="11"/>
      <c r="S25" s="11"/>
    </row>
    <row r="26" spans="1:21" ht="15.6" x14ac:dyDescent="0.3">
      <c r="A26" s="15" t="s">
        <v>35</v>
      </c>
      <c r="B26" s="21">
        <f>SUM(B5:B25)</f>
        <v>162897.70000000001</v>
      </c>
      <c r="C26" s="21">
        <f t="shared" ref="C26:P26" si="4">SUM(C5:C25)</f>
        <v>4183.6400000000012</v>
      </c>
      <c r="D26" s="21">
        <f t="shared" si="4"/>
        <v>169508.91</v>
      </c>
      <c r="E26" s="21">
        <f t="shared" si="4"/>
        <v>107514.20999999999</v>
      </c>
      <c r="F26" s="21">
        <f t="shared" si="4"/>
        <v>106607.47</v>
      </c>
      <c r="G26" s="21">
        <f t="shared" si="4"/>
        <v>121605.70000000003</v>
      </c>
      <c r="H26" s="21">
        <f t="shared" si="4"/>
        <v>82625.339999999982</v>
      </c>
      <c r="I26" s="21">
        <f t="shared" si="4"/>
        <v>18201.589999999997</v>
      </c>
      <c r="J26" s="21">
        <f t="shared" si="4"/>
        <v>18178.599999999995</v>
      </c>
      <c r="K26" s="21">
        <f t="shared" si="4"/>
        <v>-12398.059999999996</v>
      </c>
      <c r="L26" s="21">
        <f t="shared" si="4"/>
        <v>-0.63000000000000012</v>
      </c>
      <c r="M26" s="21">
        <f t="shared" si="4"/>
        <v>167.49</v>
      </c>
      <c r="N26" s="21">
        <f t="shared" si="4"/>
        <v>1327.64</v>
      </c>
      <c r="O26" s="21">
        <f t="shared" si="4"/>
        <v>18618.82</v>
      </c>
      <c r="P26" s="21">
        <f t="shared" si="4"/>
        <v>7715.260000000002</v>
      </c>
      <c r="R26" s="8"/>
      <c r="S26" s="8"/>
    </row>
    <row r="27" spans="1:21" ht="15.6" x14ac:dyDescent="0.3">
      <c r="A27" s="16" t="s">
        <v>107</v>
      </c>
      <c r="B27" s="19">
        <v>155090.23000000001</v>
      </c>
      <c r="C27" s="19">
        <v>0</v>
      </c>
      <c r="D27" s="19">
        <v>158917.87</v>
      </c>
      <c r="E27" s="19">
        <v>103070.42</v>
      </c>
      <c r="F27" s="19">
        <v>95551.48</v>
      </c>
      <c r="G27" s="19">
        <v>107673.55</v>
      </c>
      <c r="H27" s="19">
        <v>73094.37</v>
      </c>
      <c r="I27" s="19">
        <v>15738.03</v>
      </c>
      <c r="J27" s="19">
        <v>17479.84</v>
      </c>
      <c r="K27" s="17">
        <v>-10760.76</v>
      </c>
      <c r="L27" s="19">
        <v>-0.19</v>
      </c>
      <c r="M27" s="19">
        <v>99</v>
      </c>
      <c r="N27" s="19">
        <v>1711.51</v>
      </c>
      <c r="O27" s="19">
        <v>15446.56</v>
      </c>
      <c r="P27" s="20">
        <v>6496.1210000000001</v>
      </c>
    </row>
    <row r="28" spans="1:21" ht="15.6" x14ac:dyDescent="0.3">
      <c r="A28" s="16"/>
      <c r="B28" s="19"/>
      <c r="C28" s="19"/>
      <c r="D28" s="19"/>
      <c r="E28" s="19"/>
      <c r="F28" s="19"/>
      <c r="G28" s="19"/>
      <c r="H28" s="19"/>
      <c r="I28" s="19"/>
      <c r="J28" s="19"/>
      <c r="K28" s="19"/>
      <c r="L28" s="18"/>
      <c r="M28" s="19"/>
      <c r="N28" s="19"/>
      <c r="O28" s="19"/>
      <c r="P28" s="19"/>
    </row>
    <row r="29" spans="1:21" ht="15.6" x14ac:dyDescent="0.3">
      <c r="A29" s="15" t="s">
        <v>36</v>
      </c>
      <c r="B29" s="19"/>
      <c r="C29" s="19"/>
      <c r="D29" s="19"/>
      <c r="E29" s="19"/>
      <c r="F29" s="19"/>
      <c r="G29" s="19"/>
      <c r="H29" s="19"/>
      <c r="I29" s="19"/>
      <c r="J29" s="19"/>
      <c r="K29" s="19"/>
      <c r="L29" s="18"/>
      <c r="M29" s="19"/>
      <c r="N29" s="19"/>
      <c r="O29" s="19"/>
      <c r="P29" s="19"/>
    </row>
    <row r="30" spans="1:21" ht="15.6" x14ac:dyDescent="0.3">
      <c r="A30" s="16" t="s">
        <v>37</v>
      </c>
      <c r="B30" s="61">
        <v>16833.47</v>
      </c>
      <c r="C30" s="61">
        <v>144.88</v>
      </c>
      <c r="D30" s="61">
        <v>17132.060000000001</v>
      </c>
      <c r="E30" s="61">
        <v>14764.42</v>
      </c>
      <c r="F30" s="61">
        <v>14359.25</v>
      </c>
      <c r="G30" s="61">
        <v>15370.12</v>
      </c>
      <c r="H30" s="61">
        <v>14390.92</v>
      </c>
      <c r="I30" s="61">
        <v>1357.39</v>
      </c>
      <c r="J30" s="61">
        <v>2978.2</v>
      </c>
      <c r="K30" s="80">
        <f t="shared" ref="K30:K33" si="5">F30-H30-I30-J30</f>
        <v>-4367.26</v>
      </c>
      <c r="L30" s="17">
        <v>0</v>
      </c>
      <c r="M30" s="19">
        <v>0</v>
      </c>
      <c r="N30" s="19"/>
      <c r="O30" s="61">
        <v>3946.69</v>
      </c>
      <c r="P30" s="65">
        <f t="shared" ref="P30:P34" si="6">SUM(K30:O30)</f>
        <v>-420.57000000000016</v>
      </c>
      <c r="R30" s="11"/>
      <c r="S30" s="11"/>
    </row>
    <row r="31" spans="1:21" ht="15.6" x14ac:dyDescent="0.3">
      <c r="A31" s="16" t="s">
        <v>38</v>
      </c>
      <c r="B31" s="61">
        <v>41992.21</v>
      </c>
      <c r="C31" s="61">
        <v>31.28</v>
      </c>
      <c r="D31" s="61">
        <v>43618.400000000001</v>
      </c>
      <c r="E31" s="61">
        <v>36315.15</v>
      </c>
      <c r="F31" s="61">
        <v>35367.839999999997</v>
      </c>
      <c r="G31" s="61">
        <v>38084.83</v>
      </c>
      <c r="H31" s="61">
        <v>34167.89</v>
      </c>
      <c r="I31" s="61">
        <v>3614.91</v>
      </c>
      <c r="J31" s="61">
        <v>3709.27</v>
      </c>
      <c r="K31" s="80">
        <f t="shared" si="5"/>
        <v>-6124.2300000000032</v>
      </c>
      <c r="L31" s="18">
        <v>0</v>
      </c>
      <c r="M31" s="19"/>
      <c r="N31" s="19"/>
      <c r="O31" s="61">
        <v>5698.26</v>
      </c>
      <c r="P31" s="65">
        <f t="shared" si="6"/>
        <v>-425.97000000000298</v>
      </c>
      <c r="R31" s="11"/>
      <c r="S31" s="11"/>
    </row>
    <row r="32" spans="1:21" ht="15.6" x14ac:dyDescent="0.3">
      <c r="A32" s="16" t="s">
        <v>39</v>
      </c>
      <c r="B32" s="61">
        <v>20327.48</v>
      </c>
      <c r="C32" s="61">
        <v>84.34</v>
      </c>
      <c r="D32" s="61">
        <v>20700.18</v>
      </c>
      <c r="E32" s="61">
        <v>17273.93</v>
      </c>
      <c r="F32" s="61">
        <v>16751.98</v>
      </c>
      <c r="G32" s="61">
        <v>19778.939999999999</v>
      </c>
      <c r="H32" s="61">
        <v>16878</v>
      </c>
      <c r="I32" s="61">
        <v>926.23</v>
      </c>
      <c r="J32" s="61">
        <v>2911.65</v>
      </c>
      <c r="K32" s="80">
        <f t="shared" si="5"/>
        <v>-3963.9000000000005</v>
      </c>
      <c r="L32" s="18">
        <v>0</v>
      </c>
      <c r="M32" s="19"/>
      <c r="N32" s="19"/>
      <c r="O32" s="61">
        <f>3817.03-13.48</f>
        <v>3803.55</v>
      </c>
      <c r="P32" s="65">
        <f t="shared" si="6"/>
        <v>-160.35000000000036</v>
      </c>
      <c r="R32" s="10"/>
      <c r="S32" s="10"/>
      <c r="U32" s="10"/>
    </row>
    <row r="33" spans="1:19" ht="15.6" x14ac:dyDescent="0.3">
      <c r="A33" s="16" t="s">
        <v>40</v>
      </c>
      <c r="B33" s="61">
        <v>20072.150000000001</v>
      </c>
      <c r="C33" s="61">
        <v>35</v>
      </c>
      <c r="D33" s="61">
        <v>20321.27</v>
      </c>
      <c r="E33" s="61">
        <v>17839.759999999998</v>
      </c>
      <c r="F33" s="61">
        <v>17189.900000000001</v>
      </c>
      <c r="G33" s="61">
        <v>16924.28</v>
      </c>
      <c r="H33" s="61">
        <v>15973.98</v>
      </c>
      <c r="I33" s="61">
        <v>2150.71</v>
      </c>
      <c r="J33" s="61">
        <v>2976.23</v>
      </c>
      <c r="K33" s="80">
        <f t="shared" si="5"/>
        <v>-3911.0199999999982</v>
      </c>
      <c r="L33" s="18">
        <v>0</v>
      </c>
      <c r="M33" s="19">
        <v>1.1599999999999999</v>
      </c>
      <c r="N33" s="19"/>
      <c r="O33" s="61">
        <v>3598.34</v>
      </c>
      <c r="P33" s="65">
        <f t="shared" si="6"/>
        <v>-311.51999999999816</v>
      </c>
      <c r="R33" s="11"/>
      <c r="S33" s="11"/>
    </row>
    <row r="34" spans="1:19" ht="15.6" x14ac:dyDescent="0.3">
      <c r="A34" s="15" t="s">
        <v>41</v>
      </c>
      <c r="B34" s="21">
        <f>SUM(B30:B33)</f>
        <v>99225.31</v>
      </c>
      <c r="C34" s="21">
        <f>SUM(C30:C33)</f>
        <v>295.5</v>
      </c>
      <c r="D34" s="21">
        <f t="shared" ref="D34:O34" si="7">SUM(D30:D33)</f>
        <v>101771.91000000002</v>
      </c>
      <c r="E34" s="21">
        <f t="shared" si="7"/>
        <v>86193.26</v>
      </c>
      <c r="F34" s="21">
        <f t="shared" si="7"/>
        <v>83668.97</v>
      </c>
      <c r="G34" s="21">
        <f t="shared" si="7"/>
        <v>90158.17</v>
      </c>
      <c r="H34" s="21">
        <f t="shared" si="7"/>
        <v>81410.789999999994</v>
      </c>
      <c r="I34" s="21">
        <f t="shared" si="7"/>
        <v>8049.2400000000007</v>
      </c>
      <c r="J34" s="21">
        <f t="shared" si="7"/>
        <v>12575.349999999999</v>
      </c>
      <c r="K34" s="21">
        <f t="shared" si="7"/>
        <v>-18366.41</v>
      </c>
      <c r="L34" s="21">
        <f>SUM(L30:L33)</f>
        <v>0</v>
      </c>
      <c r="M34" s="21">
        <f t="shared" si="7"/>
        <v>1.1599999999999999</v>
      </c>
      <c r="N34" s="21">
        <f t="shared" si="7"/>
        <v>0</v>
      </c>
      <c r="O34" s="21">
        <f t="shared" si="7"/>
        <v>17046.84</v>
      </c>
      <c r="P34" s="67">
        <f t="shared" si="6"/>
        <v>-1318.4099999999999</v>
      </c>
      <c r="R34" s="8"/>
      <c r="S34" s="8"/>
    </row>
    <row r="35" spans="1:19" ht="15.6" x14ac:dyDescent="0.3">
      <c r="A35" s="16" t="s">
        <v>107</v>
      </c>
      <c r="B35" s="20">
        <v>90252.17</v>
      </c>
      <c r="C35" s="20">
        <v>0</v>
      </c>
      <c r="D35" s="20">
        <v>97256.79</v>
      </c>
      <c r="E35" s="20">
        <v>81787.75</v>
      </c>
      <c r="F35" s="20">
        <v>80188.34</v>
      </c>
      <c r="G35" s="20">
        <v>86310.73</v>
      </c>
      <c r="H35" s="20">
        <v>77970.34</v>
      </c>
      <c r="I35" s="20">
        <v>6421.89</v>
      </c>
      <c r="J35" s="20">
        <v>14658.85</v>
      </c>
      <c r="K35" s="17">
        <v>-18863.240000000002</v>
      </c>
      <c r="L35" s="20">
        <v>0</v>
      </c>
      <c r="M35" s="20">
        <v>-83.91</v>
      </c>
      <c r="N35" s="20">
        <v>0</v>
      </c>
      <c r="O35" s="20">
        <v>17421.29</v>
      </c>
      <c r="P35" s="20">
        <v>-1525.86</v>
      </c>
    </row>
    <row r="36" spans="1:19" ht="15.6" x14ac:dyDescent="0.3">
      <c r="A36" s="16"/>
      <c r="B36" s="16"/>
      <c r="C36" s="16"/>
      <c r="D36" s="16"/>
      <c r="E36" s="16"/>
      <c r="F36" s="16"/>
      <c r="G36" s="16"/>
      <c r="H36" s="16"/>
      <c r="I36" s="16"/>
      <c r="J36" s="16"/>
      <c r="K36" s="16"/>
      <c r="L36" s="16"/>
      <c r="M36" s="16"/>
      <c r="N36" s="16"/>
      <c r="O36" s="16"/>
      <c r="P36" s="16"/>
    </row>
    <row r="37" spans="1:19" s="1" customFormat="1" ht="15.6" x14ac:dyDescent="0.3">
      <c r="A37" s="15" t="s">
        <v>42</v>
      </c>
      <c r="B37" s="21">
        <f>B34+B26</f>
        <v>262123.01</v>
      </c>
      <c r="C37" s="21">
        <f>C34+C26</f>
        <v>4479.1400000000012</v>
      </c>
      <c r="D37" s="21">
        <f t="shared" ref="D37:P37" si="8">D34+D26</f>
        <v>271280.82</v>
      </c>
      <c r="E37" s="21">
        <f t="shared" si="8"/>
        <v>193707.46999999997</v>
      </c>
      <c r="F37" s="21">
        <f t="shared" si="8"/>
        <v>190276.44</v>
      </c>
      <c r="G37" s="21">
        <f t="shared" si="8"/>
        <v>211763.87000000002</v>
      </c>
      <c r="H37" s="21">
        <f t="shared" si="8"/>
        <v>164036.12999999998</v>
      </c>
      <c r="I37" s="21">
        <f t="shared" si="8"/>
        <v>26250.829999999998</v>
      </c>
      <c r="J37" s="21">
        <f t="shared" si="8"/>
        <v>30753.949999999993</v>
      </c>
      <c r="K37" s="21">
        <f t="shared" ref="K37" si="9">K34+K26</f>
        <v>-30764.469999999994</v>
      </c>
      <c r="L37" s="21">
        <f t="shared" si="8"/>
        <v>-0.63000000000000012</v>
      </c>
      <c r="M37" s="21">
        <f t="shared" si="8"/>
        <v>168.65</v>
      </c>
      <c r="N37" s="21">
        <f t="shared" si="8"/>
        <v>1327.64</v>
      </c>
      <c r="O37" s="21">
        <f t="shared" ref="O37" si="10">O34+O26</f>
        <v>35665.660000000003</v>
      </c>
      <c r="P37" s="21">
        <f t="shared" si="8"/>
        <v>6396.8500000000022</v>
      </c>
    </row>
    <row r="38" spans="1:19" ht="15.6" x14ac:dyDescent="0.3">
      <c r="A38" s="16" t="s">
        <v>107</v>
      </c>
      <c r="B38" s="19">
        <f>B35+B27</f>
        <v>245342.40000000002</v>
      </c>
      <c r="C38" s="19">
        <v>0</v>
      </c>
      <c r="D38" s="19">
        <f>D35+D27</f>
        <v>256174.65999999997</v>
      </c>
      <c r="E38" s="19">
        <f>E35+E27</f>
        <v>184858.16999999998</v>
      </c>
      <c r="F38" s="19">
        <f>F35+F27</f>
        <v>175739.82</v>
      </c>
      <c r="G38" s="19">
        <f>G35+G27</f>
        <v>193984.28</v>
      </c>
      <c r="H38" s="19">
        <f t="shared" ref="H38:N38" si="11">H35+H27</f>
        <v>151064.71</v>
      </c>
      <c r="I38" s="19">
        <f t="shared" si="11"/>
        <v>22159.920000000002</v>
      </c>
      <c r="J38" s="19">
        <f t="shared" si="11"/>
        <v>32138.690000000002</v>
      </c>
      <c r="K38" s="19">
        <f t="shared" ref="K38:L38" si="12">K35+K27</f>
        <v>-29624</v>
      </c>
      <c r="L38" s="19">
        <f t="shared" si="12"/>
        <v>-0.19</v>
      </c>
      <c r="M38" s="19">
        <f t="shared" si="11"/>
        <v>15.090000000000003</v>
      </c>
      <c r="N38" s="19">
        <f t="shared" si="11"/>
        <v>1711.51</v>
      </c>
      <c r="O38" s="19">
        <f t="shared" ref="O38:P38" si="13">O35+O27</f>
        <v>32867.85</v>
      </c>
      <c r="P38" s="19">
        <f t="shared" si="13"/>
        <v>4970.2610000000004</v>
      </c>
      <c r="R38" s="10"/>
    </row>
    <row r="39" spans="1:19" ht="15.6" x14ac:dyDescent="0.3">
      <c r="A39" s="16"/>
      <c r="B39" s="19"/>
      <c r="C39" s="19"/>
      <c r="D39" s="19"/>
      <c r="E39" s="19"/>
      <c r="F39" s="19"/>
      <c r="G39" s="19"/>
      <c r="H39" s="19"/>
      <c r="I39" s="19"/>
      <c r="J39" s="19"/>
      <c r="K39" s="19"/>
      <c r="L39" s="18"/>
      <c r="M39" s="19"/>
      <c r="N39" s="19"/>
      <c r="O39" s="19"/>
      <c r="P39" s="19"/>
    </row>
    <row r="40" spans="1:19" ht="15.6" x14ac:dyDescent="0.3">
      <c r="A40" s="15" t="s">
        <v>43</v>
      </c>
      <c r="B40" s="19"/>
      <c r="C40" s="19"/>
      <c r="D40" s="19"/>
      <c r="E40" s="19"/>
      <c r="F40" s="19"/>
      <c r="G40" s="19"/>
      <c r="H40" s="19"/>
      <c r="I40" s="19"/>
      <c r="J40" s="19"/>
      <c r="K40" s="19"/>
      <c r="L40" s="18"/>
      <c r="M40" s="19"/>
      <c r="N40" s="19"/>
      <c r="O40" s="19"/>
      <c r="P40" s="19"/>
    </row>
    <row r="41" spans="1:19" ht="19.5" customHeight="1" x14ac:dyDescent="0.3">
      <c r="A41" s="60" t="s">
        <v>89</v>
      </c>
      <c r="B41" s="61">
        <v>6762.23</v>
      </c>
      <c r="C41" s="61">
        <v>644.5</v>
      </c>
      <c r="D41" s="61">
        <v>6762.23</v>
      </c>
      <c r="E41" s="61">
        <v>5369.43</v>
      </c>
      <c r="F41" s="61">
        <v>4894.46</v>
      </c>
      <c r="G41" s="61">
        <v>3714.98</v>
      </c>
      <c r="H41" s="61">
        <v>2996.52</v>
      </c>
      <c r="I41" s="61">
        <v>1064.58</v>
      </c>
      <c r="J41" s="61">
        <v>1083.1199999999999</v>
      </c>
      <c r="K41" s="80">
        <f t="shared" ref="K41:K47" si="14">F41-H41-I41-J41</f>
        <v>-249.75999999999976</v>
      </c>
      <c r="L41" s="18"/>
      <c r="M41" s="19">
        <v>1.02</v>
      </c>
      <c r="N41" s="19">
        <v>141.43</v>
      </c>
      <c r="O41" s="61">
        <v>287.35000000000002</v>
      </c>
      <c r="P41" s="20">
        <f t="shared" ref="P41:P48" si="15">SUM(K41:O41)</f>
        <v>180.04000000000028</v>
      </c>
    </row>
    <row r="42" spans="1:19" ht="15.6" x14ac:dyDescent="0.3">
      <c r="A42" s="16" t="s">
        <v>45</v>
      </c>
      <c r="B42" s="61">
        <v>4821.7</v>
      </c>
      <c r="C42" s="61">
        <v>312</v>
      </c>
      <c r="D42" s="61">
        <v>4940.3999999999996</v>
      </c>
      <c r="E42" s="61">
        <v>3647.29</v>
      </c>
      <c r="F42" s="61">
        <v>3304.05</v>
      </c>
      <c r="G42" s="61">
        <v>2856.62</v>
      </c>
      <c r="H42" s="61">
        <v>2362.5300000000002</v>
      </c>
      <c r="I42" s="61">
        <v>348.67</v>
      </c>
      <c r="J42" s="61">
        <v>866.51</v>
      </c>
      <c r="K42" s="80">
        <f t="shared" si="14"/>
        <v>-273.66000000000008</v>
      </c>
      <c r="L42" s="18"/>
      <c r="M42" s="19">
        <v>5.74</v>
      </c>
      <c r="N42" s="19">
        <v>148.97999999999999</v>
      </c>
      <c r="O42" s="61">
        <v>213.45</v>
      </c>
      <c r="P42" s="20">
        <f t="shared" si="15"/>
        <v>94.509999999999906</v>
      </c>
    </row>
    <row r="43" spans="1:19" ht="15.6" x14ac:dyDescent="0.3">
      <c r="A43" s="16" t="s">
        <v>46</v>
      </c>
      <c r="B43" s="61">
        <v>8318.25</v>
      </c>
      <c r="C43" s="61">
        <v>660.87</v>
      </c>
      <c r="D43" s="61">
        <v>8561.99</v>
      </c>
      <c r="E43" s="61">
        <v>6732.71</v>
      </c>
      <c r="F43" s="61">
        <v>6347.22</v>
      </c>
      <c r="G43" s="61">
        <v>5196.04</v>
      </c>
      <c r="H43" s="61">
        <v>4095.89</v>
      </c>
      <c r="I43" s="61">
        <v>1356.84</v>
      </c>
      <c r="J43" s="61">
        <v>1222.49</v>
      </c>
      <c r="K43" s="80">
        <f t="shared" si="14"/>
        <v>-327.99999999999955</v>
      </c>
      <c r="L43" s="18"/>
      <c r="M43" s="19">
        <v>9.1300000000000008</v>
      </c>
      <c r="N43" s="19"/>
      <c r="O43" s="61">
        <v>367.58</v>
      </c>
      <c r="P43" s="20">
        <f t="shared" si="15"/>
        <v>48.710000000000434</v>
      </c>
    </row>
    <row r="44" spans="1:19" ht="15.6" x14ac:dyDescent="0.3">
      <c r="A44" s="16" t="s">
        <v>105</v>
      </c>
      <c r="B44" s="61">
        <v>16.95</v>
      </c>
      <c r="C44" s="61">
        <v>3.36</v>
      </c>
      <c r="D44" s="61">
        <v>16.95</v>
      </c>
      <c r="E44" s="61">
        <v>15.52</v>
      </c>
      <c r="F44" s="61">
        <v>7.44</v>
      </c>
      <c r="G44" s="61">
        <v>0.63</v>
      </c>
      <c r="H44" s="61">
        <v>0.61</v>
      </c>
      <c r="I44" s="61">
        <v>2.4700000000000002</v>
      </c>
      <c r="J44" s="61">
        <v>79.27</v>
      </c>
      <c r="K44" s="80">
        <f t="shared" si="14"/>
        <v>-74.91</v>
      </c>
      <c r="L44" s="18"/>
      <c r="M44" s="19">
        <v>3.85</v>
      </c>
      <c r="N44" s="19">
        <v>72.08</v>
      </c>
      <c r="O44" s="61">
        <v>0.98</v>
      </c>
      <c r="P44" s="74">
        <f t="shared" si="15"/>
        <v>1.999999999999996</v>
      </c>
    </row>
    <row r="45" spans="1:19" ht="15.6" x14ac:dyDescent="0.3">
      <c r="A45" s="16" t="s">
        <v>47</v>
      </c>
      <c r="B45" s="61">
        <v>1797.55</v>
      </c>
      <c r="C45" s="61">
        <v>116.48</v>
      </c>
      <c r="D45" s="61">
        <v>1953.66</v>
      </c>
      <c r="E45" s="61">
        <v>1876.34</v>
      </c>
      <c r="F45" s="61">
        <v>1747.44</v>
      </c>
      <c r="G45" s="61">
        <v>1332.25</v>
      </c>
      <c r="H45" s="61">
        <v>1307.33</v>
      </c>
      <c r="I45" s="61">
        <v>346.89</v>
      </c>
      <c r="J45" s="61">
        <v>402.87</v>
      </c>
      <c r="K45" s="80">
        <f t="shared" si="14"/>
        <v>-309.64999999999986</v>
      </c>
      <c r="L45" s="18"/>
      <c r="M45" s="19"/>
      <c r="N45" s="19">
        <v>66.37</v>
      </c>
      <c r="O45" s="61">
        <v>88.84</v>
      </c>
      <c r="P45" s="65">
        <f t="shared" si="15"/>
        <v>-154.43999999999986</v>
      </c>
    </row>
    <row r="46" spans="1:19" ht="15.6" x14ac:dyDescent="0.3">
      <c r="A46" s="16" t="s">
        <v>106</v>
      </c>
      <c r="B46" s="61">
        <v>2.37</v>
      </c>
      <c r="C46" s="61">
        <v>0.2</v>
      </c>
      <c r="D46" s="61">
        <v>2.37</v>
      </c>
      <c r="E46" s="61">
        <v>2.2799999999999998</v>
      </c>
      <c r="F46" s="61">
        <v>1.1399999999999999</v>
      </c>
      <c r="G46" s="61">
        <v>0.45</v>
      </c>
      <c r="H46" s="61">
        <v>0.65</v>
      </c>
      <c r="I46" s="61">
        <v>-0.01</v>
      </c>
      <c r="J46" s="61">
        <v>21.27</v>
      </c>
      <c r="K46" s="80">
        <f t="shared" si="14"/>
        <v>-20.77</v>
      </c>
      <c r="L46" s="18"/>
      <c r="M46" s="19">
        <v>0</v>
      </c>
      <c r="N46" s="19">
        <v>20.36</v>
      </c>
      <c r="O46" s="61">
        <v>0.15</v>
      </c>
      <c r="P46" s="65">
        <f t="shared" si="15"/>
        <v>-0.26000000000000012</v>
      </c>
    </row>
    <row r="47" spans="1:19" ht="15.6" x14ac:dyDescent="0.3">
      <c r="A47" s="16" t="s">
        <v>48</v>
      </c>
      <c r="B47" s="61">
        <v>16716.2</v>
      </c>
      <c r="C47" s="61">
        <v>771.96</v>
      </c>
      <c r="D47" s="61">
        <v>16781.36</v>
      </c>
      <c r="E47" s="61">
        <v>15525.22</v>
      </c>
      <c r="F47" s="61">
        <v>14822.2</v>
      </c>
      <c r="G47" s="61">
        <v>10967.71</v>
      </c>
      <c r="H47" s="61">
        <v>10419.370000000001</v>
      </c>
      <c r="I47" s="61">
        <v>2240.7199999999998</v>
      </c>
      <c r="J47" s="61">
        <v>2540.61</v>
      </c>
      <c r="K47" s="80">
        <f t="shared" si="14"/>
        <v>-378.5</v>
      </c>
      <c r="L47" s="18"/>
      <c r="M47" s="19">
        <v>6.29</v>
      </c>
      <c r="N47" s="19"/>
      <c r="O47" s="61">
        <v>765.53</v>
      </c>
      <c r="P47" s="20">
        <f t="shared" si="15"/>
        <v>393.32</v>
      </c>
    </row>
    <row r="48" spans="1:19" s="1" customFormat="1" ht="15.6" x14ac:dyDescent="0.3">
      <c r="A48" s="15" t="s">
        <v>49</v>
      </c>
      <c r="B48" s="21">
        <f>SUM(B41:B47)</f>
        <v>38435.25</v>
      </c>
      <c r="C48" s="21">
        <f>SUM(C41:C47)</f>
        <v>2509.37</v>
      </c>
      <c r="D48" s="21">
        <f t="shared" ref="D48:O48" si="16">SUM(D41:D47)</f>
        <v>39018.959999999999</v>
      </c>
      <c r="E48" s="21">
        <f t="shared" si="16"/>
        <v>33168.79</v>
      </c>
      <c r="F48" s="21">
        <f t="shared" si="16"/>
        <v>31123.95</v>
      </c>
      <c r="G48" s="21">
        <f t="shared" si="16"/>
        <v>24068.68</v>
      </c>
      <c r="H48" s="21">
        <f t="shared" si="16"/>
        <v>21182.9</v>
      </c>
      <c r="I48" s="21">
        <f t="shared" si="16"/>
        <v>5360.16</v>
      </c>
      <c r="J48" s="21">
        <f t="shared" si="16"/>
        <v>6216.1399999999994</v>
      </c>
      <c r="K48" s="21">
        <f t="shared" si="16"/>
        <v>-1635.2499999999991</v>
      </c>
      <c r="L48" s="22">
        <f t="shared" si="16"/>
        <v>0</v>
      </c>
      <c r="M48" s="21">
        <f t="shared" si="16"/>
        <v>26.03</v>
      </c>
      <c r="N48" s="21">
        <f t="shared" si="16"/>
        <v>449.21999999999997</v>
      </c>
      <c r="O48" s="21">
        <f t="shared" si="16"/>
        <v>1723.88</v>
      </c>
      <c r="P48" s="20">
        <f t="shared" si="15"/>
        <v>563.88000000000102</v>
      </c>
    </row>
    <row r="49" spans="1:19" ht="15.6" x14ac:dyDescent="0.3">
      <c r="A49" s="16" t="s">
        <v>107</v>
      </c>
      <c r="B49" s="19">
        <v>33119.339999999997</v>
      </c>
      <c r="C49" s="19">
        <v>0</v>
      </c>
      <c r="D49" s="19">
        <v>33276.76</v>
      </c>
      <c r="E49" s="19">
        <v>29083.78</v>
      </c>
      <c r="F49" s="19">
        <v>26137.55</v>
      </c>
      <c r="G49" s="19">
        <v>18492.36</v>
      </c>
      <c r="H49" s="19">
        <v>16630.599999999999</v>
      </c>
      <c r="I49" s="19">
        <v>4464.6000000000004</v>
      </c>
      <c r="J49" s="19">
        <v>5763.23</v>
      </c>
      <c r="K49" s="17">
        <v>-720.88</v>
      </c>
      <c r="L49" s="18">
        <v>0</v>
      </c>
      <c r="M49" s="19">
        <v>0</v>
      </c>
      <c r="N49" s="19">
        <v>674.52</v>
      </c>
      <c r="O49" s="19">
        <v>1311.96</v>
      </c>
      <c r="P49" s="69">
        <v>1265.5999999999999</v>
      </c>
    </row>
    <row r="50" spans="1:19" ht="15.6" x14ac:dyDescent="0.3">
      <c r="A50" s="16"/>
      <c r="B50" s="19"/>
      <c r="D50" s="19"/>
      <c r="E50" s="19"/>
      <c r="F50" s="19"/>
      <c r="G50" s="19"/>
      <c r="H50" s="19"/>
      <c r="I50" s="19"/>
      <c r="J50" s="19"/>
      <c r="K50" s="19"/>
      <c r="L50" s="18"/>
      <c r="M50" s="19"/>
      <c r="N50" s="19"/>
      <c r="O50" s="19"/>
      <c r="P50" s="19"/>
    </row>
    <row r="51" spans="1:19" ht="15.6" x14ac:dyDescent="0.3">
      <c r="A51" s="15" t="s">
        <v>50</v>
      </c>
      <c r="B51" s="19"/>
      <c r="D51" s="19"/>
      <c r="E51" s="19"/>
      <c r="F51" s="19"/>
      <c r="G51" s="19"/>
      <c r="H51" s="19"/>
      <c r="I51" s="19"/>
      <c r="J51" s="19"/>
      <c r="K51" s="19"/>
      <c r="L51" s="18"/>
      <c r="M51" s="19"/>
      <c r="N51" s="19"/>
      <c r="O51" s="19"/>
      <c r="P51" s="19"/>
      <c r="R51" s="11"/>
      <c r="S51" s="11"/>
    </row>
    <row r="52" spans="1:19" ht="15.6" x14ac:dyDescent="0.3">
      <c r="A52" s="16" t="s">
        <v>51</v>
      </c>
      <c r="B52" s="61">
        <v>9741.57</v>
      </c>
      <c r="C52" s="61">
        <v>0</v>
      </c>
      <c r="D52" s="61">
        <v>9844.34</v>
      </c>
      <c r="E52" s="61">
        <v>4904.1899999999996</v>
      </c>
      <c r="F52" s="61">
        <v>4982.1000000000004</v>
      </c>
      <c r="G52" s="61">
        <v>7709.56</v>
      </c>
      <c r="H52" s="61">
        <v>4007.16</v>
      </c>
      <c r="I52" s="61">
        <v>-176.88</v>
      </c>
      <c r="J52" s="61">
        <v>475.27</v>
      </c>
      <c r="K52" s="17">
        <f t="shared" ref="K52:K53" si="17">F52-H52-I52-J52</f>
        <v>676.55000000000064</v>
      </c>
      <c r="L52" s="18">
        <v>12.52</v>
      </c>
      <c r="M52" s="19">
        <v>-0.03</v>
      </c>
      <c r="N52" s="19"/>
      <c r="O52" s="61">
        <v>934.21</v>
      </c>
      <c r="P52" s="20">
        <f t="shared" ref="P52:P53" si="18">SUM(K52:O52)</f>
        <v>1623.2500000000007</v>
      </c>
      <c r="R52" s="11"/>
      <c r="S52" s="11"/>
    </row>
    <row r="53" spans="1:19" ht="15.6" x14ac:dyDescent="0.3">
      <c r="A53" s="16" t="s">
        <v>52</v>
      </c>
      <c r="B53" s="61">
        <v>1366.53</v>
      </c>
      <c r="C53" s="61">
        <v>0</v>
      </c>
      <c r="D53" s="61">
        <v>1366.53</v>
      </c>
      <c r="E53" s="61">
        <v>1131.76</v>
      </c>
      <c r="F53" s="61">
        <v>1155.69</v>
      </c>
      <c r="G53" s="61">
        <v>-360.77</v>
      </c>
      <c r="H53" s="61">
        <v>-632.01</v>
      </c>
      <c r="I53" s="61">
        <v>-11.34</v>
      </c>
      <c r="J53" s="61">
        <v>364.28</v>
      </c>
      <c r="K53" s="17">
        <f t="shared" si="17"/>
        <v>1434.76</v>
      </c>
      <c r="L53" s="18"/>
      <c r="M53" s="19">
        <v>8.82</v>
      </c>
      <c r="N53" s="19"/>
      <c r="O53" s="61">
        <v>383.72</v>
      </c>
      <c r="P53" s="20">
        <f t="shared" si="18"/>
        <v>1827.3</v>
      </c>
    </row>
    <row r="54" spans="1:19" s="1" customFormat="1" ht="15.6" x14ac:dyDescent="0.3">
      <c r="A54" s="15" t="s">
        <v>53</v>
      </c>
      <c r="B54" s="21">
        <f>B52+B53</f>
        <v>11108.1</v>
      </c>
      <c r="C54" s="21">
        <f>C52+C53</f>
        <v>0</v>
      </c>
      <c r="D54" s="21">
        <f t="shared" ref="D54:P54" si="19">D52+D53</f>
        <v>11210.87</v>
      </c>
      <c r="E54" s="21">
        <f t="shared" si="19"/>
        <v>6035.95</v>
      </c>
      <c r="F54" s="21">
        <f t="shared" si="19"/>
        <v>6137.7900000000009</v>
      </c>
      <c r="G54" s="21">
        <f t="shared" si="19"/>
        <v>7348.7900000000009</v>
      </c>
      <c r="H54" s="21">
        <f t="shared" si="19"/>
        <v>3375.1499999999996</v>
      </c>
      <c r="I54" s="21">
        <f t="shared" si="19"/>
        <v>-188.22</v>
      </c>
      <c r="J54" s="21">
        <f t="shared" si="19"/>
        <v>839.55</v>
      </c>
      <c r="K54" s="21">
        <f t="shared" si="19"/>
        <v>2111.3100000000004</v>
      </c>
      <c r="L54" s="22">
        <f t="shared" si="19"/>
        <v>12.52</v>
      </c>
      <c r="M54" s="21">
        <f t="shared" si="19"/>
        <v>8.7900000000000009</v>
      </c>
      <c r="N54" s="21">
        <f t="shared" si="19"/>
        <v>0</v>
      </c>
      <c r="O54" s="21">
        <f t="shared" si="19"/>
        <v>1317.93</v>
      </c>
      <c r="P54" s="21">
        <f t="shared" si="19"/>
        <v>3450.5500000000006</v>
      </c>
    </row>
    <row r="55" spans="1:19" ht="15.6" x14ac:dyDescent="0.3">
      <c r="A55" s="16" t="s">
        <v>107</v>
      </c>
      <c r="B55" s="19">
        <v>11211.33</v>
      </c>
      <c r="C55" s="19"/>
      <c r="D55" s="19">
        <v>11391.92</v>
      </c>
      <c r="E55" s="19">
        <v>6931.09</v>
      </c>
      <c r="F55" s="19">
        <v>6915.85</v>
      </c>
      <c r="G55" s="19">
        <v>8870.76</v>
      </c>
      <c r="H55" s="19">
        <v>4604.47</v>
      </c>
      <c r="I55" s="19">
        <v>-194.36</v>
      </c>
      <c r="J55" s="19">
        <v>747.42</v>
      </c>
      <c r="K55" s="17">
        <v>1758.22</v>
      </c>
      <c r="L55" s="18">
        <v>30.16</v>
      </c>
      <c r="M55" s="19">
        <v>3.31</v>
      </c>
      <c r="N55" s="19">
        <v>0</v>
      </c>
      <c r="O55" s="19">
        <v>1201.5999999999999</v>
      </c>
      <c r="P55" s="20">
        <v>2993.29</v>
      </c>
    </row>
    <row r="56" spans="1:19" ht="15.6" x14ac:dyDescent="0.3">
      <c r="A56" s="16"/>
      <c r="B56" s="19"/>
      <c r="C56" s="19"/>
      <c r="D56" s="19"/>
      <c r="E56" s="19"/>
      <c r="F56" s="19"/>
      <c r="G56" s="19"/>
      <c r="H56" s="19"/>
      <c r="I56" s="19"/>
      <c r="J56" s="19"/>
      <c r="K56" s="19"/>
      <c r="L56" s="18"/>
      <c r="M56" s="19"/>
      <c r="N56" s="19"/>
      <c r="O56" s="19"/>
      <c r="P56" s="19"/>
    </row>
    <row r="57" spans="1:19" s="1" customFormat="1" ht="15.6" x14ac:dyDescent="0.3">
      <c r="A57" s="15" t="s">
        <v>54</v>
      </c>
      <c r="B57" s="21">
        <f t="shared" ref="B57:P57" si="20">B54+B48+B37</f>
        <v>311666.36</v>
      </c>
      <c r="C57" s="21">
        <f>C48+C37</f>
        <v>6988.5100000000011</v>
      </c>
      <c r="D57" s="73">
        <f t="shared" si="20"/>
        <v>321510.65000000002</v>
      </c>
      <c r="E57" s="73">
        <f t="shared" si="20"/>
        <v>232912.20999999996</v>
      </c>
      <c r="F57" s="73">
        <f t="shared" si="20"/>
        <v>227538.18</v>
      </c>
      <c r="G57" s="21">
        <f t="shared" si="20"/>
        <v>243181.34000000003</v>
      </c>
      <c r="H57" s="21">
        <f t="shared" si="20"/>
        <v>188594.18</v>
      </c>
      <c r="I57" s="21">
        <f t="shared" si="20"/>
        <v>31422.769999999997</v>
      </c>
      <c r="J57" s="21">
        <f t="shared" si="20"/>
        <v>37809.639999999992</v>
      </c>
      <c r="K57" s="21">
        <f t="shared" ref="K57" si="21">K54+K48+K37</f>
        <v>-30288.409999999993</v>
      </c>
      <c r="L57" s="21">
        <f t="shared" si="20"/>
        <v>11.889999999999999</v>
      </c>
      <c r="M57" s="21">
        <f t="shared" si="20"/>
        <v>203.47</v>
      </c>
      <c r="N57" s="21">
        <f t="shared" si="20"/>
        <v>1776.8600000000001</v>
      </c>
      <c r="O57" s="21">
        <f t="shared" ref="O57" si="22">O54+O48+O37</f>
        <v>38707.47</v>
      </c>
      <c r="P57" s="21">
        <f t="shared" si="20"/>
        <v>10411.280000000004</v>
      </c>
    </row>
    <row r="58" spans="1:19" ht="15.6" x14ac:dyDescent="0.3">
      <c r="A58" s="16" t="s">
        <v>107</v>
      </c>
      <c r="B58" s="19">
        <f>B55+B49+B38</f>
        <v>289673.07</v>
      </c>
      <c r="C58" s="19">
        <v>0</v>
      </c>
      <c r="D58" s="19">
        <f t="shared" ref="D58:P58" si="23">D55+D49+D38</f>
        <v>300843.33999999997</v>
      </c>
      <c r="E58" s="19">
        <f t="shared" si="23"/>
        <v>220873.03999999998</v>
      </c>
      <c r="F58" s="20">
        <f t="shared" si="23"/>
        <v>208793.22</v>
      </c>
      <c r="G58" s="20">
        <f t="shared" si="23"/>
        <v>221347.4</v>
      </c>
      <c r="H58" s="20">
        <f t="shared" si="23"/>
        <v>172299.78</v>
      </c>
      <c r="I58" s="20">
        <f>I55+I49+I38</f>
        <v>26430.160000000003</v>
      </c>
      <c r="J58" s="20">
        <f t="shared" si="23"/>
        <v>38649.340000000004</v>
      </c>
      <c r="K58" s="20">
        <f t="shared" ref="K58" si="24">K55+K49+K38</f>
        <v>-28586.66</v>
      </c>
      <c r="L58" s="19">
        <f t="shared" si="23"/>
        <v>29.97</v>
      </c>
      <c r="M58" s="19">
        <f t="shared" si="23"/>
        <v>18.400000000000002</v>
      </c>
      <c r="N58" s="19">
        <f t="shared" si="23"/>
        <v>2386.0299999999997</v>
      </c>
      <c r="O58" s="19">
        <f t="shared" ref="O58" si="25">O55+O49+O38</f>
        <v>35381.409999999996</v>
      </c>
      <c r="P58" s="19">
        <f t="shared" si="23"/>
        <v>9229.1509999999998</v>
      </c>
    </row>
    <row r="59" spans="1:19" ht="15.6" x14ac:dyDescent="0.3">
      <c r="A59" s="16" t="s">
        <v>55</v>
      </c>
      <c r="B59" s="23">
        <f>(B57-B58)/B58</f>
        <v>7.5924524154074718E-2</v>
      </c>
      <c r="C59" s="23"/>
      <c r="D59" s="23">
        <f t="shared" ref="D59:P59" si="26">(D57-D58)/D58</f>
        <v>6.8697914336411967E-2</v>
      </c>
      <c r="E59" s="23">
        <f t="shared" si="26"/>
        <v>5.4507195626953768E-2</v>
      </c>
      <c r="F59" s="23">
        <f t="shared" si="26"/>
        <v>8.9777627836765919E-2</v>
      </c>
      <c r="G59" s="23">
        <f t="shared" si="26"/>
        <v>9.8641050222410709E-2</v>
      </c>
      <c r="H59" s="23">
        <f t="shared" si="26"/>
        <v>9.4570056908952496E-2</v>
      </c>
      <c r="I59" s="23">
        <f t="shared" si="26"/>
        <v>0.18889821325334363</v>
      </c>
      <c r="J59" s="23">
        <f t="shared" si="26"/>
        <v>-2.1726114857330333E-2</v>
      </c>
      <c r="K59" s="23">
        <f t="shared" si="26"/>
        <v>5.9529514815651524E-2</v>
      </c>
      <c r="L59" s="23">
        <f t="shared" si="26"/>
        <v>-0.60326993660326989</v>
      </c>
      <c r="M59" s="23">
        <f t="shared" si="26"/>
        <v>10.058152173913042</v>
      </c>
      <c r="N59" s="23">
        <f t="shared" si="26"/>
        <v>-0.25530693243588709</v>
      </c>
      <c r="O59" s="23">
        <f t="shared" si="26"/>
        <v>9.4005863531159597E-2</v>
      </c>
      <c r="P59" s="23">
        <f t="shared" si="26"/>
        <v>0.12808642961849953</v>
      </c>
    </row>
    <row r="60" spans="1:19" ht="15.6" x14ac:dyDescent="0.3">
      <c r="A60" s="83" t="s">
        <v>56</v>
      </c>
      <c r="B60" s="83"/>
      <c r="C60" s="83"/>
      <c r="D60" s="83"/>
      <c r="E60" s="83"/>
      <c r="F60" s="83"/>
      <c r="G60" s="83"/>
      <c r="H60" s="83"/>
      <c r="I60" s="83"/>
      <c r="J60" s="83"/>
      <c r="K60" s="83"/>
      <c r="L60" s="83"/>
      <c r="M60" s="83"/>
      <c r="N60" s="83"/>
      <c r="O60" s="83"/>
      <c r="P60" s="83"/>
    </row>
    <row r="61" spans="1:19" ht="15.6" x14ac:dyDescent="0.3">
      <c r="A61" s="12" t="s">
        <v>95</v>
      </c>
    </row>
    <row r="62" spans="1:19" x14ac:dyDescent="0.3">
      <c r="P62" s="8"/>
    </row>
    <row r="63" spans="1:19" x14ac:dyDescent="0.3">
      <c r="F63" s="84" t="s">
        <v>98</v>
      </c>
      <c r="G63" s="84"/>
    </row>
    <row r="64" spans="1:19" x14ac:dyDescent="0.3">
      <c r="B64" t="s">
        <v>57</v>
      </c>
      <c r="F64" s="58" t="s">
        <v>111</v>
      </c>
      <c r="G64" s="58" t="s">
        <v>103</v>
      </c>
    </row>
    <row r="65" spans="1:14" x14ac:dyDescent="0.3">
      <c r="A65" t="s">
        <v>58</v>
      </c>
      <c r="B65" s="7">
        <v>3367.45</v>
      </c>
      <c r="C65" s="10"/>
      <c r="E65" t="s">
        <v>99</v>
      </c>
      <c r="F65" s="59">
        <f>B26/B57</f>
        <v>0.52266693139419995</v>
      </c>
      <c r="G65" s="71">
        <f>B26/$B$57</f>
        <v>0.52266693139419995</v>
      </c>
    </row>
    <row r="66" spans="1:14" x14ac:dyDescent="0.3">
      <c r="A66" t="s">
        <v>59</v>
      </c>
      <c r="B66" s="8">
        <v>66.73</v>
      </c>
      <c r="C66" s="8"/>
      <c r="E66" t="s">
        <v>100</v>
      </c>
      <c r="F66" s="59">
        <f>B34/B57</f>
        <v>0.31837029187237276</v>
      </c>
      <c r="G66" s="71">
        <f>B34/$B$57</f>
        <v>0.31837029187237276</v>
      </c>
    </row>
    <row r="67" spans="1:14" x14ac:dyDescent="0.3">
      <c r="A67" t="s">
        <v>60</v>
      </c>
      <c r="B67" s="8">
        <v>538.63</v>
      </c>
      <c r="C67" s="8"/>
      <c r="E67" t="s">
        <v>101</v>
      </c>
      <c r="F67" s="59">
        <f>B48/B57</f>
        <v>0.12332177909736554</v>
      </c>
      <c r="G67" s="71">
        <f>B48/$B$57</f>
        <v>0.12332177909736554</v>
      </c>
    </row>
    <row r="68" spans="1:14" ht="15" thickBot="1" x14ac:dyDescent="0.35">
      <c r="B68" s="9">
        <f>SUM(B65:B67)</f>
        <v>3972.81</v>
      </c>
      <c r="C68" s="8"/>
      <c r="E68" t="s">
        <v>102</v>
      </c>
      <c r="F68" s="59">
        <f>B54/B57</f>
        <v>3.564099763606185E-2</v>
      </c>
      <c r="G68" s="71">
        <f>B54/$B$57</f>
        <v>3.564099763606185E-2</v>
      </c>
    </row>
    <row r="69" spans="1:14" ht="15" thickTop="1" x14ac:dyDescent="0.3"/>
    <row r="70" spans="1:14" x14ac:dyDescent="0.3">
      <c r="A70" t="s">
        <v>109</v>
      </c>
      <c r="B70" s="8">
        <f>B57</f>
        <v>311666.36</v>
      </c>
      <c r="C70" s="8"/>
      <c r="F70" s="72">
        <f>SUM(F65:F68)</f>
        <v>1</v>
      </c>
      <c r="G70" s="72">
        <f>SUM(G65:G68)</f>
        <v>1</v>
      </c>
    </row>
    <row r="71" spans="1:14" x14ac:dyDescent="0.3">
      <c r="A71" t="s">
        <v>93</v>
      </c>
      <c r="B71" s="8">
        <f>B68</f>
        <v>3972.81</v>
      </c>
      <c r="C71" s="8"/>
    </row>
    <row r="72" spans="1:14" ht="15" thickBot="1" x14ac:dyDescent="0.35">
      <c r="A72" t="s">
        <v>110</v>
      </c>
      <c r="B72" s="9">
        <f>B70-B71</f>
        <v>307693.55</v>
      </c>
      <c r="C72" s="8"/>
    </row>
    <row r="73" spans="1:14" ht="15" thickTop="1" x14ac:dyDescent="0.3">
      <c r="B73" s="8"/>
      <c r="C73" s="8"/>
    </row>
    <row r="74" spans="1:14" x14ac:dyDescent="0.3">
      <c r="A74" s="78" t="s">
        <v>115</v>
      </c>
      <c r="B74" s="79">
        <f>B72+C57</f>
        <v>314682.06</v>
      </c>
      <c r="C74" s="8"/>
    </row>
    <row r="75" spans="1:14" x14ac:dyDescent="0.3">
      <c r="B75" s="84"/>
      <c r="C75" s="84"/>
      <c r="D75" s="84"/>
      <c r="E75" s="84"/>
      <c r="F75" s="84"/>
      <c r="G75" s="84"/>
      <c r="H75" s="84"/>
      <c r="I75" s="84"/>
      <c r="J75" s="84"/>
      <c r="K75" s="84"/>
      <c r="L75" s="84"/>
      <c r="M75" s="84"/>
      <c r="N75" s="84"/>
    </row>
    <row r="76" spans="1:14" x14ac:dyDescent="0.3">
      <c r="B76" s="58"/>
      <c r="C76" s="58"/>
      <c r="D76" s="58"/>
      <c r="E76" s="58"/>
      <c r="F76" s="58"/>
      <c r="G76" s="58"/>
      <c r="H76" s="58"/>
      <c r="I76" s="58"/>
      <c r="J76" s="58"/>
      <c r="K76" s="58"/>
      <c r="L76" s="58"/>
      <c r="M76" s="58"/>
      <c r="N76" s="58"/>
    </row>
    <row r="77" spans="1:14" x14ac:dyDescent="0.3">
      <c r="B77" s="8"/>
      <c r="C77" s="8"/>
      <c r="D77" s="8"/>
      <c r="E77" s="8"/>
      <c r="F77" s="8"/>
      <c r="G77" s="8"/>
      <c r="H77" s="8"/>
      <c r="I77" s="8"/>
      <c r="J77" s="8"/>
      <c r="K77" s="8"/>
      <c r="L77" s="8"/>
      <c r="M77" s="8"/>
      <c r="N77" s="8"/>
    </row>
    <row r="78" spans="1:14" x14ac:dyDescent="0.3">
      <c r="B78" s="8"/>
      <c r="C78" s="8"/>
      <c r="D78" s="8"/>
      <c r="E78" s="8"/>
      <c r="F78" s="8"/>
      <c r="G78" s="8"/>
      <c r="H78" s="8"/>
      <c r="I78" s="8"/>
      <c r="J78" s="8"/>
      <c r="K78" s="8"/>
      <c r="L78" s="8"/>
      <c r="M78" s="8"/>
      <c r="N78" s="8"/>
    </row>
    <row r="79" spans="1:14" x14ac:dyDescent="0.3">
      <c r="B79" s="8"/>
      <c r="C79" s="8"/>
      <c r="D79" s="8"/>
      <c r="E79" s="8"/>
      <c r="F79" s="8"/>
      <c r="G79" s="8"/>
      <c r="H79" s="8"/>
      <c r="I79" s="8"/>
      <c r="J79" s="8"/>
      <c r="K79" s="8"/>
      <c r="L79" s="8"/>
      <c r="M79" s="8"/>
      <c r="N79" s="8"/>
    </row>
    <row r="80" spans="1:14" x14ac:dyDescent="0.3">
      <c r="B80" s="8"/>
      <c r="C80" s="8"/>
      <c r="D80" s="8"/>
      <c r="E80" s="8"/>
      <c r="F80" s="8"/>
      <c r="G80" s="8"/>
      <c r="H80" s="8"/>
      <c r="I80" s="8"/>
      <c r="J80" s="8"/>
      <c r="K80" s="8"/>
      <c r="L80" s="8"/>
      <c r="M80" s="8"/>
      <c r="N80" s="8"/>
    </row>
    <row r="81" spans="1:14" x14ac:dyDescent="0.3">
      <c r="B81" s="8"/>
      <c r="C81" s="8"/>
      <c r="D81" s="8"/>
      <c r="E81" s="8"/>
      <c r="F81" s="8"/>
      <c r="G81" s="8"/>
      <c r="H81" s="8"/>
      <c r="I81" s="8"/>
      <c r="J81" s="8"/>
      <c r="K81" s="8"/>
      <c r="L81" s="8"/>
      <c r="M81" s="8"/>
      <c r="N81" s="8"/>
    </row>
    <row r="83" spans="1:14" x14ac:dyDescent="0.3">
      <c r="F83" s="59"/>
      <c r="J83" s="59"/>
      <c r="N83" s="59"/>
    </row>
    <row r="86" spans="1:14" ht="49.8" customHeight="1" x14ac:dyDescent="0.3">
      <c r="A86" s="81" t="s">
        <v>113</v>
      </c>
      <c r="B86" s="81"/>
      <c r="C86" s="81"/>
      <c r="D86" s="81"/>
      <c r="E86" s="81"/>
      <c r="F86" s="81"/>
      <c r="G86" s="81"/>
      <c r="H86" s="81"/>
      <c r="I86" s="81"/>
    </row>
    <row r="87" spans="1:14" x14ac:dyDescent="0.3">
      <c r="F87">
        <f>(220873/71300)^(1/9)</f>
        <v>1.1338652762706842</v>
      </c>
    </row>
    <row r="89" spans="1:14" x14ac:dyDescent="0.3">
      <c r="F89">
        <f>(208793/67428)^(1/9)</f>
        <v>1.1338138025181985</v>
      </c>
    </row>
    <row r="91" spans="1:14" x14ac:dyDescent="0.3">
      <c r="F91">
        <f>(219621/72048)^(1/9)</f>
        <v>1.1318361173684472</v>
      </c>
    </row>
    <row r="93" spans="1:14" x14ac:dyDescent="0.3">
      <c r="F93">
        <f>(172300/55232)^(1/9)</f>
        <v>1.1347479053647622</v>
      </c>
    </row>
  </sheetData>
  <mergeCells count="7">
    <mergeCell ref="A86:I86"/>
    <mergeCell ref="A1:P1"/>
    <mergeCell ref="A60:P60"/>
    <mergeCell ref="G75:J75"/>
    <mergeCell ref="K75:N75"/>
    <mergeCell ref="F63:G63"/>
    <mergeCell ref="B75:F75"/>
  </mergeCells>
  <pageMargins left="0.74803149606299213" right="0.74803149606299213" top="0.98425196850393704" bottom="0.98425196850393704" header="0.51181102362204722" footer="0.51181102362204722"/>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1"/>
  <sheetViews>
    <sheetView topLeftCell="A35" zoomScale="93" zoomScaleNormal="93" workbookViewId="0">
      <selection activeCell="L44" sqref="L44"/>
    </sheetView>
  </sheetViews>
  <sheetFormatPr defaultRowHeight="14.4" x14ac:dyDescent="0.3"/>
  <cols>
    <col min="1" max="1" width="42.6640625" style="5" customWidth="1"/>
    <col min="2" max="2" width="15.21875" customWidth="1"/>
    <col min="3" max="4" width="14.77734375" customWidth="1"/>
    <col min="5" max="5" width="13.77734375" customWidth="1"/>
    <col min="6" max="6" width="13" customWidth="1"/>
    <col min="7" max="7" width="13.44140625" customWidth="1"/>
    <col min="8" max="8" width="14.21875" customWidth="1"/>
    <col min="9" max="9" width="12.21875" customWidth="1"/>
    <col min="10" max="10" width="12.44140625" customWidth="1"/>
    <col min="11" max="11" width="11.44140625" customWidth="1"/>
    <col min="12" max="12" width="11" customWidth="1"/>
    <col min="13" max="13" width="18.44140625" customWidth="1"/>
  </cols>
  <sheetData>
    <row r="1" spans="1:13" s="6" customFormat="1" ht="15.6" x14ac:dyDescent="0.3">
      <c r="A1" s="85" t="s">
        <v>104</v>
      </c>
      <c r="B1" s="86"/>
      <c r="C1" s="86"/>
      <c r="D1" s="86"/>
      <c r="E1" s="86"/>
      <c r="F1" s="86"/>
      <c r="G1" s="86"/>
      <c r="H1" s="86"/>
      <c r="I1" s="86"/>
      <c r="J1" s="86"/>
      <c r="K1" s="86"/>
      <c r="L1" s="86"/>
      <c r="M1" s="86"/>
    </row>
    <row r="2" spans="1:13" ht="15.6" x14ac:dyDescent="0.3">
      <c r="A2" s="24"/>
      <c r="B2" s="12"/>
      <c r="C2" s="12"/>
      <c r="D2" s="12"/>
      <c r="E2" s="12"/>
      <c r="F2" s="12"/>
      <c r="G2" s="12"/>
      <c r="H2" s="12"/>
      <c r="I2" s="12"/>
      <c r="J2" s="12"/>
      <c r="K2" s="12"/>
      <c r="L2" s="12"/>
      <c r="M2" s="13" t="s">
        <v>0</v>
      </c>
    </row>
    <row r="3" spans="1:13" s="2" customFormat="1" ht="120" customHeight="1" x14ac:dyDescent="0.3">
      <c r="A3" s="25" t="s">
        <v>1</v>
      </c>
      <c r="B3" s="14" t="s">
        <v>14</v>
      </c>
      <c r="C3" s="14" t="s">
        <v>61</v>
      </c>
      <c r="D3" s="14" t="s">
        <v>62</v>
      </c>
      <c r="E3" s="14" t="s">
        <v>63</v>
      </c>
      <c r="F3" s="14" t="s">
        <v>64</v>
      </c>
      <c r="G3" s="14" t="s">
        <v>65</v>
      </c>
      <c r="H3" s="14" t="s">
        <v>66</v>
      </c>
      <c r="I3" s="14" t="s">
        <v>67</v>
      </c>
      <c r="J3" s="14" t="s">
        <v>68</v>
      </c>
      <c r="K3" s="14" t="s">
        <v>69</v>
      </c>
      <c r="L3" s="14" t="s">
        <v>70</v>
      </c>
      <c r="M3" s="14" t="s">
        <v>71</v>
      </c>
    </row>
    <row r="4" spans="1:13" s="1" customFormat="1" ht="15.6" x14ac:dyDescent="0.3">
      <c r="A4" s="15" t="s">
        <v>15</v>
      </c>
      <c r="B4" s="15"/>
      <c r="C4" s="15"/>
      <c r="D4" s="15"/>
      <c r="E4" s="15"/>
      <c r="F4" s="15"/>
      <c r="G4" s="15"/>
      <c r="H4" s="15"/>
      <c r="I4" s="15"/>
      <c r="J4" s="15"/>
      <c r="K4" s="15"/>
      <c r="L4" s="15"/>
      <c r="M4" s="15"/>
    </row>
    <row r="5" spans="1:13" ht="15.6" x14ac:dyDescent="0.3">
      <c r="A5" s="32" t="s">
        <v>16</v>
      </c>
      <c r="B5" s="75">
        <f>'Business Result'!P5</f>
        <v>85.400000000000034</v>
      </c>
      <c r="C5" s="61">
        <v>57.07</v>
      </c>
      <c r="D5" s="20">
        <f>-'Business Result'!N5</f>
        <v>-334.78</v>
      </c>
      <c r="E5" s="19">
        <f>-1.42+0.35</f>
        <v>-1.0699999999999998</v>
      </c>
      <c r="F5" s="50">
        <f t="shared" ref="F5:F33" si="0">SUM(B5:E5)</f>
        <v>-193.37999999999994</v>
      </c>
      <c r="G5" s="65">
        <f>F5</f>
        <v>-193.37999999999994</v>
      </c>
      <c r="H5" s="26">
        <f>'Business Result'!G5/'Business Result'!D5</f>
        <v>0.66497309497401524</v>
      </c>
      <c r="I5" s="26">
        <f>'Business Result'!E5/'Business Result'!B5</f>
        <v>0.74913666590786909</v>
      </c>
      <c r="J5" s="26">
        <f>'Business Result'!H5/'Business Result'!F5</f>
        <v>0.6994744794061617</v>
      </c>
      <c r="K5" s="26">
        <f>'Business Result'!I5/'Business Result'!E5</f>
        <v>9.9992241646839758E-2</v>
      </c>
      <c r="L5" s="26">
        <f>'Business Result'!J5/'Business Result'!E5</f>
        <v>0.45921045826005996</v>
      </c>
      <c r="M5" s="27">
        <f>J5+K5+L5</f>
        <v>1.2586771793130613</v>
      </c>
    </row>
    <row r="6" spans="1:13" ht="15.6" x14ac:dyDescent="0.3">
      <c r="A6" s="32" t="s">
        <v>17</v>
      </c>
      <c r="B6" s="19">
        <f>'Business Result'!P6</f>
        <v>1867.9700000000003</v>
      </c>
      <c r="C6" s="61">
        <v>648.38</v>
      </c>
      <c r="D6" s="20">
        <f>-'Business Result'!N6</f>
        <v>0</v>
      </c>
      <c r="E6" s="19">
        <v>-71.12</v>
      </c>
      <c r="F6" s="19">
        <f t="shared" si="0"/>
        <v>2445.2300000000005</v>
      </c>
      <c r="G6" s="20">
        <v>1832.29</v>
      </c>
      <c r="H6" s="26">
        <f>'Business Result'!G6/'Business Result'!D6</f>
        <v>0.69787822963713908</v>
      </c>
      <c r="I6" s="26">
        <f>'Business Result'!E6/'Business Result'!B6</f>
        <v>0.42305926979788305</v>
      </c>
      <c r="J6" s="26">
        <f>'Business Result'!H6/'Business Result'!F6</f>
        <v>0.74588557071925266</v>
      </c>
      <c r="K6" s="26">
        <f>'Business Result'!I6/'Business Result'!E6</f>
        <v>4.150396552980052E-2</v>
      </c>
      <c r="L6" s="26">
        <f>'Business Result'!J6/'Business Result'!E6</f>
        <v>0.23529398780210539</v>
      </c>
      <c r="M6" s="27">
        <f t="shared" ref="M6:M58" si="1">J6+K6+L6</f>
        <v>1.0226835240511585</v>
      </c>
    </row>
    <row r="7" spans="1:13" ht="15.6" x14ac:dyDescent="0.3">
      <c r="A7" s="32" t="s">
        <v>18</v>
      </c>
      <c r="B7" s="19">
        <f>'Business Result'!P7</f>
        <v>657.00999999999942</v>
      </c>
      <c r="C7" s="61">
        <v>208.57</v>
      </c>
      <c r="D7" s="20">
        <f>-'Business Result'!N7</f>
        <v>-215.34</v>
      </c>
      <c r="E7" s="19">
        <v>30.66</v>
      </c>
      <c r="F7" s="19">
        <f t="shared" si="0"/>
        <v>680.89999999999941</v>
      </c>
      <c r="G7" s="20">
        <v>507.19</v>
      </c>
      <c r="H7" s="26">
        <f>'Business Result'!G7/'Business Result'!D7</f>
        <v>0.69174330875262824</v>
      </c>
      <c r="I7" s="26">
        <f>'Business Result'!E7/'Business Result'!B7</f>
        <v>0.73832945607621581</v>
      </c>
      <c r="J7" s="26">
        <f>'Business Result'!H7/'Business Result'!F7</f>
        <v>0.73327913297804548</v>
      </c>
      <c r="K7" s="26">
        <f>'Business Result'!I7/'Business Result'!E7</f>
        <v>0.23326514859771175</v>
      </c>
      <c r="L7" s="26">
        <f>'Business Result'!J7/'Business Result'!E7</f>
        <v>0.13502578183218555</v>
      </c>
      <c r="M7" s="27">
        <f t="shared" si="1"/>
        <v>1.1015700634079428</v>
      </c>
    </row>
    <row r="8" spans="1:13" ht="15.6" x14ac:dyDescent="0.3">
      <c r="A8" s="32" t="s">
        <v>20</v>
      </c>
      <c r="B8" s="19">
        <f>'Business Result'!P8</f>
        <v>43.620000000000118</v>
      </c>
      <c r="C8" s="61">
        <v>146.84</v>
      </c>
      <c r="D8" s="20">
        <v>0</v>
      </c>
      <c r="E8" s="19">
        <f>-63.52</f>
        <v>-63.52</v>
      </c>
      <c r="F8" s="19">
        <f t="shared" si="0"/>
        <v>126.94000000000011</v>
      </c>
      <c r="G8" s="20">
        <v>93.86</v>
      </c>
      <c r="H8" s="26">
        <f>'Business Result'!G8/'Business Result'!D8</f>
        <v>0.73373242914877579</v>
      </c>
      <c r="I8" s="26">
        <f>'Business Result'!E8/'Business Result'!B8</f>
        <v>0.6810486376142717</v>
      </c>
      <c r="J8" s="26">
        <f>'Business Result'!H8/'Business Result'!F8</f>
        <v>0.78883915487704148</v>
      </c>
      <c r="K8" s="26">
        <f>'Business Result'!I8/'Business Result'!E8</f>
        <v>0.14927699132823999</v>
      </c>
      <c r="L8" s="26">
        <f>'Business Result'!J8/'Business Result'!E8</f>
        <v>0.18028247022985322</v>
      </c>
      <c r="M8" s="27">
        <f t="shared" si="1"/>
        <v>1.1183986164351347</v>
      </c>
    </row>
    <row r="9" spans="1:13" ht="15.6" x14ac:dyDescent="0.3">
      <c r="A9" s="32" t="s">
        <v>21</v>
      </c>
      <c r="B9" s="19">
        <f>'Business Result'!P9</f>
        <v>614.57000000000028</v>
      </c>
      <c r="C9" s="61">
        <v>215.66</v>
      </c>
      <c r="D9" s="20">
        <f>-'Business Result'!N9</f>
        <v>-324.01</v>
      </c>
      <c r="E9" s="19">
        <v>-81.28</v>
      </c>
      <c r="F9" s="19">
        <f t="shared" si="0"/>
        <v>424.94000000000028</v>
      </c>
      <c r="G9" s="20">
        <f>F9</f>
        <v>424.94000000000028</v>
      </c>
      <c r="H9" s="26">
        <f>'Business Result'!G9/'Business Result'!D9</f>
        <v>0.68014051549580157</v>
      </c>
      <c r="I9" s="26">
        <f>'Business Result'!E9/'Business Result'!B9</f>
        <v>0.97151257766614407</v>
      </c>
      <c r="J9" s="26">
        <f>'Business Result'!H9/'Business Result'!F9</f>
        <v>0.72818566313322075</v>
      </c>
      <c r="K9" s="26">
        <f>'Business Result'!I9/'Business Result'!E9</f>
        <v>0.27073520103124721</v>
      </c>
      <c r="L9" s="26">
        <f>'Business Result'!J9/'Business Result'!E9</f>
        <v>9.4476728292841178E-2</v>
      </c>
      <c r="M9" s="27">
        <f t="shared" si="1"/>
        <v>1.0933975924573092</v>
      </c>
    </row>
    <row r="10" spans="1:13" ht="15.6" x14ac:dyDescent="0.3">
      <c r="A10" s="32" t="s">
        <v>22</v>
      </c>
      <c r="B10" s="19">
        <f>'Business Result'!P10</f>
        <v>321.72000000000003</v>
      </c>
      <c r="C10" s="61">
        <v>422.95</v>
      </c>
      <c r="D10" s="20">
        <v>0</v>
      </c>
      <c r="E10" s="19">
        <v>-80.739999999999995</v>
      </c>
      <c r="F10" s="19">
        <f t="shared" si="0"/>
        <v>663.93000000000006</v>
      </c>
      <c r="G10" s="20">
        <v>500.17</v>
      </c>
      <c r="H10" s="26">
        <f>'Business Result'!G10/'Business Result'!D10</f>
        <v>0.90387697396270106</v>
      </c>
      <c r="I10" s="26">
        <f>'Business Result'!E10/'Business Result'!B10</f>
        <v>0.45344205830585282</v>
      </c>
      <c r="J10" s="26">
        <f>'Business Result'!H10/'Business Result'!F10</f>
        <v>0.89465751649765723</v>
      </c>
      <c r="K10" s="26">
        <f>'Business Result'!I10/'Business Result'!E10</f>
        <v>7.4569659045595371E-2</v>
      </c>
      <c r="L10" s="26">
        <f>'Business Result'!J10/'Business Result'!E10</f>
        <v>0.25825337203822524</v>
      </c>
      <c r="M10" s="27">
        <f t="shared" si="1"/>
        <v>1.2274805475814778</v>
      </c>
    </row>
    <row r="11" spans="1:13" ht="15.6" x14ac:dyDescent="0.3">
      <c r="A11" s="32" t="s">
        <v>23</v>
      </c>
      <c r="B11" s="19">
        <f>'Business Result'!P11</f>
        <v>2266.920000000001</v>
      </c>
      <c r="C11" s="61">
        <v>1004.82</v>
      </c>
      <c r="D11" s="20">
        <v>0</v>
      </c>
      <c r="E11" s="19">
        <v>49.57</v>
      </c>
      <c r="F11" s="19">
        <f t="shared" si="0"/>
        <v>3321.3100000000013</v>
      </c>
      <c r="G11" s="20">
        <v>2508.29</v>
      </c>
      <c r="H11" s="26">
        <f>'Business Result'!G11/'Business Result'!D11</f>
        <v>0.61769447945943312</v>
      </c>
      <c r="I11" s="26">
        <f>'Business Result'!E11/'Business Result'!B11</f>
        <v>0.77370333048116224</v>
      </c>
      <c r="J11" s="26">
        <f>'Business Result'!H11/'Business Result'!F11</f>
        <v>0.70639741012717039</v>
      </c>
      <c r="K11" s="26">
        <f>'Business Result'!I11/'Business Result'!E11</f>
        <v>0.18486676499176824</v>
      </c>
      <c r="L11" s="26">
        <f>'Business Result'!J11/'Business Result'!E11</f>
        <v>0.13702768548426719</v>
      </c>
      <c r="M11" s="27">
        <f t="shared" si="1"/>
        <v>1.0282918606032059</v>
      </c>
    </row>
    <row r="12" spans="1:13" ht="15.6" x14ac:dyDescent="0.3">
      <c r="A12" s="32" t="s">
        <v>24</v>
      </c>
      <c r="B12" s="50">
        <f>'Business Result'!P12</f>
        <v>-85.390000000000327</v>
      </c>
      <c r="C12" s="61">
        <v>259.93</v>
      </c>
      <c r="D12" s="20">
        <v>0</v>
      </c>
      <c r="E12" s="19">
        <v>3</v>
      </c>
      <c r="F12" s="19">
        <f t="shared" si="0"/>
        <v>177.53999999999968</v>
      </c>
      <c r="G12" s="20">
        <v>135.11000000000001</v>
      </c>
      <c r="H12" s="26">
        <f>'Business Result'!G12/'Business Result'!D12</f>
        <v>0.78031953223358697</v>
      </c>
      <c r="I12" s="26">
        <f>'Business Result'!E12/'Business Result'!B12</f>
        <v>0.69449637526857666</v>
      </c>
      <c r="J12" s="26">
        <f>'Business Result'!H12/'Business Result'!F12</f>
        <v>0.88309289496250365</v>
      </c>
      <c r="K12" s="26">
        <f>'Business Result'!I12/'Business Result'!E12</f>
        <v>0.14427435825037371</v>
      </c>
      <c r="L12" s="26">
        <f>'Business Result'!J12/'Business Result'!E12</f>
        <v>0.16328909783487991</v>
      </c>
      <c r="M12" s="27">
        <f t="shared" si="1"/>
        <v>1.1906563510477572</v>
      </c>
    </row>
    <row r="13" spans="1:13" ht="15.6" x14ac:dyDescent="0.3">
      <c r="A13" s="32" t="s">
        <v>90</v>
      </c>
      <c r="B13" s="19">
        <f>'Business Result'!P13</f>
        <v>45.070000000000029</v>
      </c>
      <c r="C13" s="61">
        <v>7.21</v>
      </c>
      <c r="D13" s="20">
        <v>0.32</v>
      </c>
      <c r="E13" s="19">
        <v>0</v>
      </c>
      <c r="F13" s="19">
        <f t="shared" si="0"/>
        <v>52.60000000000003</v>
      </c>
      <c r="G13" s="20">
        <v>37.81</v>
      </c>
      <c r="H13" s="26">
        <f>'Business Result'!G13/'Business Result'!D13</f>
        <v>0.66263967023565706</v>
      </c>
      <c r="I13" s="26">
        <f>'Business Result'!E13/'Business Result'!B13</f>
        <v>0.6875923573484044</v>
      </c>
      <c r="J13" s="26">
        <f>'Business Result'!H13/'Business Result'!F13</f>
        <v>0.65724574833138505</v>
      </c>
      <c r="K13" s="26">
        <f>'Business Result'!I13/'Business Result'!E13</f>
        <v>-1.8682250919031008E-2</v>
      </c>
      <c r="L13" s="26">
        <f>'Business Result'!J13/'Business Result'!E13</f>
        <v>0.3119615420869073</v>
      </c>
      <c r="M13" s="27">
        <f t="shared" ref="M13" si="2">J13+K13+L13</f>
        <v>0.95052503949926137</v>
      </c>
    </row>
    <row r="14" spans="1:13" ht="15.6" x14ac:dyDescent="0.3">
      <c r="A14" s="32" t="s">
        <v>25</v>
      </c>
      <c r="B14" s="50">
        <f>'Business Result'!P14</f>
        <v>-92.440000000000055</v>
      </c>
      <c r="C14" s="61">
        <v>62.37</v>
      </c>
      <c r="D14" s="20">
        <f>-'Business Result'!N14</f>
        <v>-93.14</v>
      </c>
      <c r="E14" s="19">
        <v>-3.98</v>
      </c>
      <c r="F14" s="50">
        <f t="shared" si="0"/>
        <v>-127.19000000000007</v>
      </c>
      <c r="G14" s="65">
        <f>F14</f>
        <v>-127.19000000000007</v>
      </c>
      <c r="H14" s="26">
        <f>'Business Result'!G14/'Business Result'!D14</f>
        <v>0.73471497683668885</v>
      </c>
      <c r="I14" s="26">
        <f>'Business Result'!E14/'Business Result'!B14</f>
        <v>1.0167064332900053</v>
      </c>
      <c r="J14" s="26">
        <f>'Business Result'!H14/'Business Result'!F14</f>
        <v>0.80539092536816248</v>
      </c>
      <c r="K14" s="26">
        <f>'Business Result'!I14/'Business Result'!E14</f>
        <v>0.22248540917787887</v>
      </c>
      <c r="L14" s="26">
        <f>'Business Result'!J14/'Business Result'!E14</f>
        <v>0.15259832659798508</v>
      </c>
      <c r="M14" s="27">
        <f t="shared" si="1"/>
        <v>1.1804746611440264</v>
      </c>
    </row>
    <row r="15" spans="1:13" ht="15.6" x14ac:dyDescent="0.3">
      <c r="A15" s="32" t="s">
        <v>26</v>
      </c>
      <c r="B15" s="75">
        <f>'Business Result'!P15</f>
        <v>31.190000000000055</v>
      </c>
      <c r="C15" s="61">
        <v>89.27</v>
      </c>
      <c r="D15" s="20">
        <f>-'Business Result'!N15</f>
        <v>-58.22</v>
      </c>
      <c r="E15" s="19">
        <v>-34.590000000000003</v>
      </c>
      <c r="F15" s="75">
        <f t="shared" si="0"/>
        <v>27.650000000000048</v>
      </c>
      <c r="G15" s="74">
        <v>1.05</v>
      </c>
      <c r="H15" s="26">
        <f>'Business Result'!G15/'Business Result'!D15</f>
        <v>0.72029326400638249</v>
      </c>
      <c r="I15" s="26">
        <f>'Business Result'!E15/'Business Result'!B15</f>
        <v>0.91250899712092126</v>
      </c>
      <c r="J15" s="26">
        <f>'Business Result'!H15/'Business Result'!F15</f>
        <v>0.79801837375026585</v>
      </c>
      <c r="K15" s="26">
        <f>'Business Result'!I15/'Business Result'!E15</f>
        <v>0.22651487016337626</v>
      </c>
      <c r="L15" s="26">
        <f>'Business Result'!J15/'Business Result'!E15</f>
        <v>0.12545231655092401</v>
      </c>
      <c r="M15" s="27">
        <f t="shared" si="1"/>
        <v>1.1499855604645661</v>
      </c>
    </row>
    <row r="16" spans="1:13" ht="15.6" x14ac:dyDescent="0.3">
      <c r="A16" s="32" t="s">
        <v>27</v>
      </c>
      <c r="B16" s="19">
        <f>'Business Result'!P16</f>
        <v>18.18000000000001</v>
      </c>
      <c r="C16" s="61">
        <v>12.91</v>
      </c>
      <c r="D16" s="20">
        <f>-'Business Result'!N16</f>
        <v>-4.95</v>
      </c>
      <c r="E16" s="20">
        <v>8.69</v>
      </c>
      <c r="F16" s="19">
        <f t="shared" ref="F16:F24" si="3">SUM(B16:E16)</f>
        <v>34.830000000000013</v>
      </c>
      <c r="G16" s="20">
        <f>F16</f>
        <v>34.830000000000013</v>
      </c>
      <c r="H16" s="26">
        <f>'Business Result'!G16/'Business Result'!D16</f>
        <v>0.73839453627635354</v>
      </c>
      <c r="I16" s="26">
        <f>'Business Result'!E16/'Business Result'!B16</f>
        <v>0.90987641917009943</v>
      </c>
      <c r="J16" s="26">
        <f>'Business Result'!H16/'Business Result'!F16</f>
        <v>0.91857410881801116</v>
      </c>
      <c r="K16" s="26">
        <f>'Business Result'!I16/'Business Result'!E16</f>
        <v>5.8083038869257947E-2</v>
      </c>
      <c r="L16" s="26">
        <f>'Business Result'!J16/'Business Result'!E16</f>
        <v>0.31868374558303886</v>
      </c>
      <c r="M16" s="27">
        <f t="shared" ref="M16:M27" si="4">J16+K16+L16</f>
        <v>1.2953408932703079</v>
      </c>
    </row>
    <row r="17" spans="1:13" ht="15.6" x14ac:dyDescent="0.3">
      <c r="A17" s="32" t="s">
        <v>28</v>
      </c>
      <c r="B17" s="50">
        <f>'Business Result'!P17</f>
        <v>-47.84999999999998</v>
      </c>
      <c r="C17" s="61">
        <v>13.89</v>
      </c>
      <c r="D17" s="20">
        <f>-'Business Result'!N17</f>
        <v>-14.99</v>
      </c>
      <c r="E17" s="19">
        <f>2.79</f>
        <v>2.79</v>
      </c>
      <c r="F17" s="50">
        <f t="shared" si="3"/>
        <v>-46.159999999999982</v>
      </c>
      <c r="G17" s="65">
        <v>-46.35</v>
      </c>
      <c r="H17" s="26">
        <f>'Business Result'!G17/'Business Result'!D17</f>
        <v>0.91020527859237532</v>
      </c>
      <c r="I17" s="26">
        <f>'Business Result'!E17/'Business Result'!B17</f>
        <v>1.2260347658682973</v>
      </c>
      <c r="J17" s="26">
        <f>'Business Result'!H17/'Business Result'!F17</f>
        <v>0.89465627609240184</v>
      </c>
      <c r="K17" s="26">
        <f>'Business Result'!I17/'Business Result'!E17</f>
        <v>0.20163487738419617</v>
      </c>
      <c r="L17" s="26">
        <f>'Business Result'!J17/'Business Result'!E17</f>
        <v>0.17272433381055743</v>
      </c>
      <c r="M17" s="27">
        <f t="shared" si="4"/>
        <v>1.2690154872871555</v>
      </c>
    </row>
    <row r="18" spans="1:13" ht="15.6" x14ac:dyDescent="0.3">
      <c r="A18" s="32" t="s">
        <v>29</v>
      </c>
      <c r="B18" s="19">
        <f>'Business Result'!P18</f>
        <v>236.76000000000022</v>
      </c>
      <c r="C18" s="61">
        <v>265.35000000000002</v>
      </c>
      <c r="D18" s="20"/>
      <c r="E18" s="19">
        <v>-123.76</v>
      </c>
      <c r="F18" s="19">
        <f t="shared" si="3"/>
        <v>378.35000000000025</v>
      </c>
      <c r="G18" s="20">
        <v>315.44</v>
      </c>
      <c r="H18" s="26">
        <f>'Business Result'!G18/'Business Result'!D18</f>
        <v>0.73760165345497408</v>
      </c>
      <c r="I18" s="26">
        <f>'Business Result'!E18/'Business Result'!B18</f>
        <v>0.57766261461638868</v>
      </c>
      <c r="J18" s="26">
        <f>'Business Result'!H18/'Business Result'!F18</f>
        <v>0.82633606000550197</v>
      </c>
      <c r="K18" s="26">
        <f>'Business Result'!I18/'Business Result'!E18</f>
        <v>0.14675812176753722</v>
      </c>
      <c r="L18" s="26">
        <f>'Business Result'!J18/'Business Result'!E18</f>
        <v>0.19321591506374219</v>
      </c>
      <c r="M18" s="27">
        <f t="shared" si="4"/>
        <v>1.1663100968367814</v>
      </c>
    </row>
    <row r="19" spans="1:13" ht="15.6" x14ac:dyDescent="0.3">
      <c r="A19" s="32" t="s">
        <v>30</v>
      </c>
      <c r="B19" s="19">
        <f>'Business Result'!P19</f>
        <v>103.4000000000002</v>
      </c>
      <c r="C19" s="61">
        <v>126.3</v>
      </c>
      <c r="D19" s="20"/>
      <c r="E19" s="19">
        <v>-14.37</v>
      </c>
      <c r="F19" s="19">
        <f t="shared" si="3"/>
        <v>215.33000000000021</v>
      </c>
      <c r="G19" s="20">
        <v>160.33000000000001</v>
      </c>
      <c r="H19" s="26">
        <f>'Business Result'!G19/'Business Result'!D19</f>
        <v>0.79218108008365118</v>
      </c>
      <c r="I19" s="26">
        <f>'Business Result'!E19/'Business Result'!B19</f>
        <v>0.89694885708363681</v>
      </c>
      <c r="J19" s="26">
        <f>'Business Result'!H19/'Business Result'!F19</f>
        <v>0.7925095606202367</v>
      </c>
      <c r="K19" s="26">
        <f>'Business Result'!I19/'Business Result'!E19</f>
        <v>0.2270529540377676</v>
      </c>
      <c r="L19" s="26">
        <f>'Business Result'!J19/'Business Result'!E19</f>
        <v>0.11366423928565081</v>
      </c>
      <c r="M19" s="27">
        <f t="shared" si="4"/>
        <v>1.1332267539436551</v>
      </c>
    </row>
    <row r="20" spans="1:13" ht="15.6" x14ac:dyDescent="0.3">
      <c r="A20" s="32" t="s">
        <v>31</v>
      </c>
      <c r="B20" s="75">
        <f>'Business Result'!P20</f>
        <v>129.77999999999986</v>
      </c>
      <c r="C20" s="61">
        <v>618.12</v>
      </c>
      <c r="D20" s="20">
        <v>0</v>
      </c>
      <c r="E20" s="19">
        <v>-71.98</v>
      </c>
      <c r="F20" s="19">
        <f t="shared" si="3"/>
        <v>675.91999999999985</v>
      </c>
      <c r="G20" s="20">
        <v>508.76</v>
      </c>
      <c r="H20" s="26">
        <f>'Business Result'!G20/'Business Result'!D20</f>
        <v>0.70485649465638489</v>
      </c>
      <c r="I20" s="26">
        <f>'Business Result'!E20/'Business Result'!B20</f>
        <v>0.6659798252946254</v>
      </c>
      <c r="J20" s="26">
        <f>'Business Result'!H20/'Business Result'!F20</f>
        <v>0.82414836487874021</v>
      </c>
      <c r="K20" s="26">
        <f>'Business Result'!I20/'Business Result'!E20</f>
        <v>0.11768235202546096</v>
      </c>
      <c r="L20" s="26">
        <f>'Business Result'!J20/'Business Result'!E20</f>
        <v>0.15623594631058221</v>
      </c>
      <c r="M20" s="27">
        <f t="shared" si="4"/>
        <v>1.0980666632147833</v>
      </c>
    </row>
    <row r="21" spans="1:13" ht="15.6" x14ac:dyDescent="0.3">
      <c r="A21" s="32" t="s">
        <v>32</v>
      </c>
      <c r="B21" s="19">
        <f>'Business Result'!P21</f>
        <v>611.94999999999982</v>
      </c>
      <c r="C21" s="61">
        <v>136.75</v>
      </c>
      <c r="D21" s="20">
        <f>-'Business Result'!N21</f>
        <v>-48.02</v>
      </c>
      <c r="E21" s="19">
        <v>-16.09</v>
      </c>
      <c r="F21" s="19">
        <f t="shared" si="3"/>
        <v>684.5899999999998</v>
      </c>
      <c r="G21" s="20">
        <v>514.98</v>
      </c>
      <c r="H21" s="26">
        <f>'Business Result'!G21/'Business Result'!D21</f>
        <v>0.56553639851550364</v>
      </c>
      <c r="I21" s="26">
        <f>'Business Result'!E21/'Business Result'!B21</f>
        <v>0.93166958847758552</v>
      </c>
      <c r="J21" s="26">
        <f>'Business Result'!H21/'Business Result'!F21</f>
        <v>0.67645765627987009</v>
      </c>
      <c r="K21" s="26">
        <f>'Business Result'!I21/'Business Result'!E21</f>
        <v>0.2210265634517331</v>
      </c>
      <c r="L21" s="26">
        <f>'Business Result'!J21/'Business Result'!E21</f>
        <v>0.11258797052254704</v>
      </c>
      <c r="M21" s="27">
        <f t="shared" si="4"/>
        <v>1.0100721902541503</v>
      </c>
    </row>
    <row r="22" spans="1:13" ht="15.6" x14ac:dyDescent="0.3">
      <c r="A22" s="32" t="s">
        <v>33</v>
      </c>
      <c r="B22" s="19">
        <f>'Business Result'!P22</f>
        <v>628.18000000000029</v>
      </c>
      <c r="C22" s="61">
        <v>595.36</v>
      </c>
      <c r="D22" s="20"/>
      <c r="E22" s="19">
        <v>-102.06</v>
      </c>
      <c r="F22" s="19">
        <f t="shared" si="3"/>
        <v>1121.4800000000005</v>
      </c>
      <c r="G22" s="20">
        <v>837.89</v>
      </c>
      <c r="H22" s="26">
        <f>'Business Result'!G22/'Business Result'!D22</f>
        <v>0.73707637350443866</v>
      </c>
      <c r="I22" s="26">
        <f>'Business Result'!E22/'Business Result'!B22</f>
        <v>0.6193614241338814</v>
      </c>
      <c r="J22" s="26">
        <f>'Business Result'!H22/'Business Result'!F22</f>
        <v>0.77299908199374701</v>
      </c>
      <c r="K22" s="26">
        <f>'Business Result'!I22/'Business Result'!E22</f>
        <v>0.25328767060819279</v>
      </c>
      <c r="L22" s="26">
        <f>'Business Result'!J22/'Business Result'!E22</f>
        <v>0.16900437322437512</v>
      </c>
      <c r="M22" s="27">
        <f t="shared" si="4"/>
        <v>1.1952911258263148</v>
      </c>
    </row>
    <row r="23" spans="1:13" ht="15.6" x14ac:dyDescent="0.3">
      <c r="A23" s="32" t="s">
        <v>34</v>
      </c>
      <c r="B23" s="19">
        <f>'Business Result'!P23</f>
        <v>228.70000000000022</v>
      </c>
      <c r="C23" s="61">
        <v>87.65</v>
      </c>
      <c r="D23" s="20"/>
      <c r="E23" s="19">
        <f>-65.72</f>
        <v>-65.72</v>
      </c>
      <c r="F23" s="19">
        <f t="shared" si="3"/>
        <v>250.63000000000025</v>
      </c>
      <c r="G23" s="20">
        <v>189.86</v>
      </c>
      <c r="H23" s="26">
        <f>'Business Result'!G23/'Business Result'!D23</f>
        <v>0.75441224983505595</v>
      </c>
      <c r="I23" s="26">
        <f>'Business Result'!E23/'Business Result'!B23</f>
        <v>0.49140190412428991</v>
      </c>
      <c r="J23" s="26">
        <f>'Business Result'!H23/'Business Result'!F23</f>
        <v>0.77153325650799276</v>
      </c>
      <c r="K23" s="26">
        <f>'Business Result'!I23/'Business Result'!E23</f>
        <v>7.0260783150875958E-2</v>
      </c>
      <c r="L23" s="26">
        <f>'Business Result'!J23/'Business Result'!E23</f>
        <v>0.1636306079597365</v>
      </c>
      <c r="M23" s="27">
        <f t="shared" si="4"/>
        <v>1.0054246476186051</v>
      </c>
    </row>
    <row r="24" spans="1:13" ht="15.6" x14ac:dyDescent="0.3">
      <c r="A24" s="16" t="s">
        <v>19</v>
      </c>
      <c r="B24" s="75">
        <f>'Business Result'!P24</f>
        <v>31.760000000000005</v>
      </c>
      <c r="C24" s="61">
        <v>12.3</v>
      </c>
      <c r="D24" s="20">
        <f>-'Business Result'!N24</f>
        <v>-87.21</v>
      </c>
      <c r="E24" s="19">
        <v>-4.38</v>
      </c>
      <c r="F24" s="50">
        <f t="shared" si="3"/>
        <v>-47.529999999999994</v>
      </c>
      <c r="G24" s="65">
        <f>F24</f>
        <v>-47.529999999999994</v>
      </c>
      <c r="H24" s="26">
        <f>'Business Result'!G24/'Business Result'!D24</f>
        <v>0.6675525346031872</v>
      </c>
      <c r="I24" s="26">
        <f>'Business Result'!E24/'Business Result'!B24</f>
        <v>0.62436763075682755</v>
      </c>
      <c r="J24" s="26">
        <f>'Business Result'!H24/'Business Result'!F24</f>
        <v>0.79776824034334759</v>
      </c>
      <c r="K24" s="26">
        <f>'Business Result'!I24/'Business Result'!E24</f>
        <v>0.15370585576861001</v>
      </c>
      <c r="L24" s="26">
        <f>'Business Result'!J24/'Business Result'!E24</f>
        <v>0.29964813738782364</v>
      </c>
      <c r="M24" s="27">
        <f t="shared" ref="M24:M25" si="5">J24+K24+L24</f>
        <v>1.2511222334997814</v>
      </c>
    </row>
    <row r="25" spans="1:13" ht="15.6" x14ac:dyDescent="0.3">
      <c r="A25" s="33" t="s">
        <v>114</v>
      </c>
      <c r="B25" s="19">
        <f>'Business Result'!P25</f>
        <v>18.759999999999877</v>
      </c>
      <c r="C25" s="61">
        <v>96.56</v>
      </c>
      <c r="D25" s="20">
        <f>-'Business Result'!N25</f>
        <v>-146.97999999999999</v>
      </c>
      <c r="E25" s="19">
        <v>-6.45</v>
      </c>
      <c r="F25" s="50">
        <f t="shared" ref="F25" si="6">SUM(B25:E25)</f>
        <v>-38.110000000000113</v>
      </c>
      <c r="G25" s="65">
        <f>F25</f>
        <v>-38.110000000000113</v>
      </c>
      <c r="H25" s="26">
        <f>'Business Result'!G25/'Business Result'!D25</f>
        <v>0.67124646936018662</v>
      </c>
      <c r="I25" s="26">
        <f>'Business Result'!E25/'Business Result'!B25</f>
        <v>0.76055926239179683</v>
      </c>
      <c r="J25" s="26">
        <f>'Business Result'!H25/'Business Result'!F25</f>
        <v>0.74600259291270532</v>
      </c>
      <c r="K25" s="26">
        <f>'Business Result'!I25/'Business Result'!E25</f>
        <v>0.1841552486339548</v>
      </c>
      <c r="L25" s="26">
        <f>'Business Result'!J25/'Business Result'!E25</f>
        <v>0.25778439825365879</v>
      </c>
      <c r="M25" s="27">
        <f t="shared" si="5"/>
        <v>1.187942239800319</v>
      </c>
    </row>
    <row r="26" spans="1:13" ht="15.6" x14ac:dyDescent="0.3">
      <c r="A26" s="28" t="s">
        <v>72</v>
      </c>
      <c r="B26" s="21">
        <f>'Business Result'!P26</f>
        <v>7715.260000000002</v>
      </c>
      <c r="C26" s="29">
        <f>SUM(C5:C25)</f>
        <v>5088.2599999999993</v>
      </c>
      <c r="D26" s="29">
        <f t="shared" ref="D26:G26" si="7">SUM(D5:D25)</f>
        <v>-1327.32</v>
      </c>
      <c r="E26" s="29">
        <f t="shared" si="7"/>
        <v>-646.40000000000009</v>
      </c>
      <c r="F26" s="29">
        <f t="shared" si="7"/>
        <v>10829.800000000001</v>
      </c>
      <c r="G26" s="29">
        <f t="shared" si="7"/>
        <v>8150.24</v>
      </c>
      <c r="H26" s="30">
        <f>'Business Result'!G26/'Business Result'!D26</f>
        <v>0.71740004699457993</v>
      </c>
      <c r="I26" s="30">
        <f>'Business Result'!E26/'Business Result'!B26</f>
        <v>0.66001060788458021</v>
      </c>
      <c r="J26" s="30">
        <f>'Business Result'!H26/'Business Result'!F26</f>
        <v>0.77504268697118484</v>
      </c>
      <c r="K26" s="30">
        <f>'Business Result'!I26/'Business Result'!E26</f>
        <v>0.16929473787697458</v>
      </c>
      <c r="L26" s="30">
        <f>'Business Result'!J26/'Business Result'!E26</f>
        <v>0.16908090567749134</v>
      </c>
      <c r="M26" s="31">
        <f t="shared" si="4"/>
        <v>1.1134183305256506</v>
      </c>
    </row>
    <row r="27" spans="1:13" ht="15.6" x14ac:dyDescent="0.3">
      <c r="A27" s="32" t="s">
        <v>108</v>
      </c>
      <c r="B27" s="19">
        <f>'Business Result'!P27</f>
        <v>6496.1210000000001</v>
      </c>
      <c r="C27" s="19">
        <v>4118.72</v>
      </c>
      <c r="D27" s="19">
        <v>-1711.51</v>
      </c>
      <c r="E27" s="19">
        <v>-680.43</v>
      </c>
      <c r="F27" s="19">
        <v>8239.8700000000008</v>
      </c>
      <c r="G27" s="19">
        <v>6152.55</v>
      </c>
      <c r="H27" s="26">
        <f>'Business Result'!G27/'Business Result'!D27</f>
        <v>0.67754211656624896</v>
      </c>
      <c r="I27" s="26">
        <f>'Business Result'!E27/'Business Result'!B27</f>
        <v>0.66458357821766068</v>
      </c>
      <c r="J27" s="26">
        <f>'Business Result'!H27/'Business Result'!F27</f>
        <v>0.76497370841351697</v>
      </c>
      <c r="K27" s="26">
        <f>'Business Result'!I27/'Business Result'!E27</f>
        <v>0.15269201386780029</v>
      </c>
      <c r="L27" s="26">
        <f>'Business Result'!J27/'Business Result'!E27</f>
        <v>0.16959123674862295</v>
      </c>
      <c r="M27" s="27">
        <f t="shared" si="4"/>
        <v>1.0872569590299401</v>
      </c>
    </row>
    <row r="28" spans="1:13" ht="15.6" x14ac:dyDescent="0.3">
      <c r="A28" s="33"/>
      <c r="B28" s="19"/>
      <c r="C28" s="19"/>
      <c r="D28" s="19"/>
      <c r="E28" s="19"/>
      <c r="F28" s="19"/>
      <c r="G28" s="19"/>
      <c r="H28" s="26"/>
      <c r="I28" s="26"/>
      <c r="J28" s="26"/>
      <c r="K28" s="26"/>
      <c r="L28" s="26"/>
      <c r="M28" s="27"/>
    </row>
    <row r="29" spans="1:13" ht="15.6" x14ac:dyDescent="0.3">
      <c r="A29" s="15" t="s">
        <v>36</v>
      </c>
      <c r="B29" s="19"/>
      <c r="C29" s="19"/>
      <c r="D29" s="19"/>
      <c r="E29" s="19"/>
      <c r="F29" s="19"/>
      <c r="G29" s="19"/>
      <c r="H29" s="26"/>
      <c r="I29" s="26"/>
      <c r="J29" s="26"/>
      <c r="K29" s="26"/>
      <c r="L29" s="26"/>
      <c r="M29" s="27"/>
    </row>
    <row r="30" spans="1:13" ht="15.6" x14ac:dyDescent="0.3">
      <c r="A30" s="32" t="s">
        <v>37</v>
      </c>
      <c r="B30" s="50">
        <f>'Business Result'!P30</f>
        <v>-420.57000000000016</v>
      </c>
      <c r="C30" s="61">
        <v>0</v>
      </c>
      <c r="D30" s="20">
        <f>'Business Result'!N30</f>
        <v>0</v>
      </c>
      <c r="E30" s="20">
        <v>-62.65</v>
      </c>
      <c r="F30" s="50">
        <f>SUM(B30:E30)</f>
        <v>-483.22000000000014</v>
      </c>
      <c r="G30" s="76">
        <v>-483.18</v>
      </c>
      <c r="H30" s="26">
        <f>'Business Result'!G30/'Business Result'!D30</f>
        <v>0.89715539170420833</v>
      </c>
      <c r="I30" s="26">
        <f>'Business Result'!E30/'Business Result'!B30</f>
        <v>0.8770871365202777</v>
      </c>
      <c r="J30" s="26">
        <f>'Business Result'!H30/'Business Result'!F30</f>
        <v>1.0022055469470899</v>
      </c>
      <c r="K30" s="26">
        <f>'Business Result'!I30/'Business Result'!E30</f>
        <v>9.1936561002734965E-2</v>
      </c>
      <c r="L30" s="26">
        <f>'Business Result'!J30/'Business Result'!E30</f>
        <v>0.20171466268231328</v>
      </c>
      <c r="M30" s="27">
        <f>J30+K30+L30</f>
        <v>1.295856770632138</v>
      </c>
    </row>
    <row r="31" spans="1:13" ht="15.6" x14ac:dyDescent="0.3">
      <c r="A31" s="32" t="s">
        <v>38</v>
      </c>
      <c r="B31" s="50">
        <f>'Business Result'!P31</f>
        <v>-425.97000000000298</v>
      </c>
      <c r="C31" s="61">
        <v>2295.62</v>
      </c>
      <c r="D31" s="20">
        <f>'Business Result'!N31</f>
        <v>0</v>
      </c>
      <c r="E31" s="20">
        <v>-835.17</v>
      </c>
      <c r="F31" s="19">
        <f t="shared" ref="F31" si="8">SUM(B31:E31)</f>
        <v>1034.4799999999968</v>
      </c>
      <c r="G31" s="20">
        <v>988.07</v>
      </c>
      <c r="H31" s="26">
        <f>'Business Result'!G31/'Business Result'!D31</f>
        <v>0.87313679548080625</v>
      </c>
      <c r="I31" s="26">
        <f>'Business Result'!E31/'Business Result'!B31</f>
        <v>0.86480682964768951</v>
      </c>
      <c r="J31" s="26">
        <f>'Business Result'!H31/'Business Result'!F31</f>
        <v>0.96607228487801355</v>
      </c>
      <c r="K31" s="26">
        <f>'Business Result'!I31/'Business Result'!E31</f>
        <v>9.9542752818038746E-2</v>
      </c>
      <c r="L31" s="26">
        <f>'Business Result'!J31/'Business Result'!E31</f>
        <v>0.10214111741242979</v>
      </c>
      <c r="M31" s="27">
        <f t="shared" si="1"/>
        <v>1.1677561551084821</v>
      </c>
    </row>
    <row r="32" spans="1:13" ht="15.6" x14ac:dyDescent="0.3">
      <c r="A32" s="32" t="s">
        <v>39</v>
      </c>
      <c r="B32" s="50">
        <f>'Business Result'!P32</f>
        <v>-160.35000000000036</v>
      </c>
      <c r="C32" s="61">
        <v>0</v>
      </c>
      <c r="D32" s="20">
        <f>'Business Result'!N32</f>
        <v>0</v>
      </c>
      <c r="E32" s="20">
        <v>92.76</v>
      </c>
      <c r="F32" s="50">
        <f t="shared" si="0"/>
        <v>-67.590000000000359</v>
      </c>
      <c r="G32" s="20">
        <v>143.96</v>
      </c>
      <c r="H32" s="26">
        <f>'Business Result'!G32/'Business Result'!D32</f>
        <v>0.9554960391648768</v>
      </c>
      <c r="I32" s="26">
        <f>'Business Result'!E32/'Business Result'!B32</f>
        <v>0.84978216680080365</v>
      </c>
      <c r="J32" s="26">
        <f>'Business Result'!H32/'Business Result'!F32</f>
        <v>1.0075226928398913</v>
      </c>
      <c r="K32" s="26">
        <f>'Business Result'!I32/'Business Result'!E32</f>
        <v>5.3620108452448287E-2</v>
      </c>
      <c r="L32" s="26">
        <f>'Business Result'!J32/'Business Result'!E32</f>
        <v>0.16855747360328541</v>
      </c>
      <c r="M32" s="27">
        <f t="shared" ref="M32" si="9">J32+K32+L32</f>
        <v>1.2297002748956249</v>
      </c>
    </row>
    <row r="33" spans="1:13" ht="15.6" x14ac:dyDescent="0.3">
      <c r="A33" s="32" t="s">
        <v>40</v>
      </c>
      <c r="B33" s="50">
        <f>'Business Result'!P33</f>
        <v>-311.51999999999816</v>
      </c>
      <c r="C33" s="61">
        <v>181.94</v>
      </c>
      <c r="D33" s="20">
        <v>0</v>
      </c>
      <c r="E33" s="20">
        <v>-0.46</v>
      </c>
      <c r="F33" s="50">
        <f t="shared" si="0"/>
        <v>-130.03999999999817</v>
      </c>
      <c r="G33" s="74">
        <v>154.02000000000001</v>
      </c>
      <c r="H33" s="26">
        <f>'Business Result'!G33/'Business Result'!D33</f>
        <v>0.83283574304165042</v>
      </c>
      <c r="I33" s="26">
        <f>'Business Result'!E33/'Business Result'!B33</f>
        <v>0.8887817199452972</v>
      </c>
      <c r="J33" s="26">
        <f>'Business Result'!H33/'Business Result'!F33</f>
        <v>0.92926544075300022</v>
      </c>
      <c r="K33" s="26">
        <f>'Business Result'!I33/'Business Result'!E33</f>
        <v>0.12055711511814061</v>
      </c>
      <c r="L33" s="26">
        <f>'Business Result'!J33/'Business Result'!E33</f>
        <v>0.16683128024143823</v>
      </c>
      <c r="M33" s="27">
        <f t="shared" si="1"/>
        <v>1.2166538361125792</v>
      </c>
    </row>
    <row r="34" spans="1:13" ht="15.6" x14ac:dyDescent="0.3">
      <c r="A34" s="28" t="s">
        <v>73</v>
      </c>
      <c r="B34" s="21">
        <f t="shared" ref="B34:G34" si="10">SUM(B30:B33)</f>
        <v>-1318.4100000000017</v>
      </c>
      <c r="C34" s="21">
        <f t="shared" si="10"/>
        <v>2477.56</v>
      </c>
      <c r="D34" s="21">
        <f t="shared" si="10"/>
        <v>0</v>
      </c>
      <c r="E34" s="21">
        <f t="shared" si="10"/>
        <v>-805.52</v>
      </c>
      <c r="F34" s="21">
        <f t="shared" si="10"/>
        <v>353.62999999999818</v>
      </c>
      <c r="G34" s="21">
        <f t="shared" si="10"/>
        <v>802.87</v>
      </c>
      <c r="H34" s="30">
        <f>'Business Result'!G34/'Business Result'!D34</f>
        <v>0.88588462179790062</v>
      </c>
      <c r="I34" s="30">
        <f>'Business Result'!E34/'Business Result'!B34</f>
        <v>0.8686620379417308</v>
      </c>
      <c r="J34" s="30">
        <f>'Business Result'!H34/'Business Result'!F34</f>
        <v>0.97301054381331564</v>
      </c>
      <c r="K34" s="30">
        <f>'Business Result'!I34/'Business Result'!E34</f>
        <v>9.3385956164089873E-2</v>
      </c>
      <c r="L34" s="30">
        <f>'Business Result'!J34/'Business Result'!E34</f>
        <v>0.14589713859297118</v>
      </c>
      <c r="M34" s="31">
        <f t="shared" ref="M34" si="11">J34+K34+L34</f>
        <v>1.2122936385703769</v>
      </c>
    </row>
    <row r="35" spans="1:13" ht="15.6" x14ac:dyDescent="0.3">
      <c r="A35" s="32" t="s">
        <v>108</v>
      </c>
      <c r="B35" s="19">
        <f>'Business Result'!P35</f>
        <v>-1525.86</v>
      </c>
      <c r="C35" s="19">
        <v>2707.72</v>
      </c>
      <c r="D35" s="19">
        <f>'Business Result'!N35</f>
        <v>0</v>
      </c>
      <c r="E35" s="19">
        <v>-701.07</v>
      </c>
      <c r="F35" s="19">
        <v>480.79</v>
      </c>
      <c r="G35" s="19">
        <v>531.13</v>
      </c>
      <c r="H35" s="26">
        <f>'Business Result'!G35/'Business Result'!D35</f>
        <v>0.88745197121969588</v>
      </c>
      <c r="I35" s="26">
        <f>'Business Result'!E35/'Business Result'!B35</f>
        <v>0.90621366777109069</v>
      </c>
      <c r="J35" s="26">
        <f>'Business Result'!H35/'Business Result'!F35</f>
        <v>0.97234011827654743</v>
      </c>
      <c r="K35" s="26">
        <f>'Business Result'!I35/'Business Result'!E35</f>
        <v>7.8518971361848197E-2</v>
      </c>
      <c r="L35" s="26">
        <f>'Business Result'!J35/'Business Result'!E35</f>
        <v>0.17923038596855886</v>
      </c>
      <c r="M35" s="27">
        <f t="shared" ref="M35" si="12">J35+K35+L35</f>
        <v>1.2300894756069545</v>
      </c>
    </row>
    <row r="36" spans="1:13" ht="15.6" x14ac:dyDescent="0.3">
      <c r="A36" s="12"/>
      <c r="B36" s="12"/>
      <c r="C36" s="12"/>
      <c r="D36" s="12"/>
      <c r="E36" s="12"/>
      <c r="F36" s="12"/>
      <c r="G36" s="12"/>
      <c r="H36" s="12"/>
      <c r="I36" s="12"/>
      <c r="J36" s="12"/>
      <c r="K36" s="12"/>
      <c r="L36" s="12"/>
      <c r="M36" s="12"/>
    </row>
    <row r="37" spans="1:13" s="1" customFormat="1" ht="15.6" x14ac:dyDescent="0.3">
      <c r="A37" s="28" t="s">
        <v>42</v>
      </c>
      <c r="B37" s="21">
        <f t="shared" ref="B37:G37" si="13">B26+B34</f>
        <v>6396.85</v>
      </c>
      <c r="C37" s="21">
        <f t="shared" si="13"/>
        <v>7565.82</v>
      </c>
      <c r="D37" s="21">
        <f t="shared" si="13"/>
        <v>-1327.32</v>
      </c>
      <c r="E37" s="21">
        <f t="shared" si="13"/>
        <v>-1451.92</v>
      </c>
      <c r="F37" s="21">
        <f t="shared" si="13"/>
        <v>11183.429999999998</v>
      </c>
      <c r="G37" s="21">
        <f t="shared" si="13"/>
        <v>8953.11</v>
      </c>
      <c r="H37" s="26">
        <f>'Business Result'!G37/'Business Result'!D37</f>
        <v>0.78060760064054668</v>
      </c>
      <c r="I37" s="30">
        <f>'Business Result'!E37/'Business Result'!B37</f>
        <v>0.73899452779822716</v>
      </c>
      <c r="J37" s="30">
        <f>'Business Result'!H37/'Business Result'!F37</f>
        <v>0.86209375159636148</v>
      </c>
      <c r="K37" s="30">
        <f>'Business Result'!I37/'Business Result'!E37</f>
        <v>0.13551790232973462</v>
      </c>
      <c r="L37" s="30">
        <f>'Business Result'!J37/'Business Result'!E37</f>
        <v>0.15876491495139552</v>
      </c>
      <c r="M37" s="31">
        <f t="shared" si="1"/>
        <v>1.1563765688774916</v>
      </c>
    </row>
    <row r="38" spans="1:13" ht="15.6" x14ac:dyDescent="0.3">
      <c r="A38" s="32" t="s">
        <v>108</v>
      </c>
      <c r="B38" s="19">
        <f>'Business Result'!P38</f>
        <v>4970.2610000000004</v>
      </c>
      <c r="C38" s="19">
        <v>6826.44</v>
      </c>
      <c r="D38" s="19">
        <v>-1711.51</v>
      </c>
      <c r="E38" s="19">
        <v>-1381.5</v>
      </c>
      <c r="F38" s="19">
        <v>8720.66</v>
      </c>
      <c r="G38" s="19">
        <v>6683.68</v>
      </c>
      <c r="H38" s="26">
        <f>'Business Result'!G38/'Business Result'!D38</f>
        <v>0.75723445870875761</v>
      </c>
      <c r="I38" s="26">
        <f>'Business Result'!E38/'Business Result'!B38</f>
        <v>0.75347012990824236</v>
      </c>
      <c r="J38" s="26">
        <f>'Business Result'!H38/'Business Result'!F38</f>
        <v>0.85959294825725885</v>
      </c>
      <c r="K38" s="26">
        <f>'Business Result'!I38/'Business Result'!E38</f>
        <v>0.1198752535524938</v>
      </c>
      <c r="L38" s="26">
        <f>'Business Result'!J38/'Business Result'!E38</f>
        <v>0.17385593506632682</v>
      </c>
      <c r="M38" s="27">
        <f t="shared" si="1"/>
        <v>1.1533241368760796</v>
      </c>
    </row>
    <row r="39" spans="1:13" ht="15.6" x14ac:dyDescent="0.3">
      <c r="A39" s="32"/>
      <c r="B39" s="19"/>
      <c r="C39" s="19"/>
      <c r="D39" s="19"/>
      <c r="E39" s="19"/>
      <c r="F39" s="19"/>
      <c r="G39" s="19"/>
      <c r="H39" s="26"/>
      <c r="I39" s="26"/>
      <c r="J39" s="26"/>
      <c r="K39" s="26"/>
      <c r="L39" s="26"/>
      <c r="M39" s="27"/>
    </row>
    <row r="40" spans="1:13" s="1" customFormat="1" ht="15.6" x14ac:dyDescent="0.3">
      <c r="A40" s="15" t="s">
        <v>43</v>
      </c>
      <c r="B40" s="21"/>
      <c r="C40" s="21"/>
      <c r="D40" s="21"/>
      <c r="E40" s="21"/>
      <c r="F40" s="21"/>
      <c r="G40" s="21"/>
      <c r="H40" s="26"/>
      <c r="I40" s="26"/>
      <c r="J40" s="26"/>
      <c r="K40" s="26"/>
      <c r="L40" s="26"/>
      <c r="M40" s="27"/>
    </row>
    <row r="41" spans="1:13" ht="15.6" x14ac:dyDescent="0.3">
      <c r="A41" s="70" t="s">
        <v>44</v>
      </c>
      <c r="B41" s="19">
        <f>'Business Result'!P41</f>
        <v>180.04000000000028</v>
      </c>
      <c r="C41" s="61">
        <v>192.47</v>
      </c>
      <c r="D41" s="20">
        <f>-'Business Result'!N41</f>
        <v>-141.43</v>
      </c>
      <c r="E41" s="20">
        <v>-17.559999999999999</v>
      </c>
      <c r="F41" s="20">
        <f t="shared" ref="F41:F47" si="14">SUM(B41:E41)</f>
        <v>213.52000000000027</v>
      </c>
      <c r="G41" s="20">
        <f>F41</f>
        <v>213.52000000000027</v>
      </c>
      <c r="H41" s="26">
        <f>'Business Result'!G41/'Business Result'!D41</f>
        <v>0.54937202668350538</v>
      </c>
      <c r="I41" s="26">
        <f>'Business Result'!E41/'Business Result'!B41</f>
        <v>0.79403244196071421</v>
      </c>
      <c r="J41" s="26">
        <f>'Business Result'!H41/'Business Result'!F41</f>
        <v>0.61222688509049006</v>
      </c>
      <c r="K41" s="26">
        <f>'Business Result'!I41/'Business Result'!E41</f>
        <v>0.19826685514104847</v>
      </c>
      <c r="L41" s="26">
        <f>'Business Result'!J41/'Business Result'!E41</f>
        <v>0.2017197356143948</v>
      </c>
      <c r="M41" s="27">
        <f t="shared" si="1"/>
        <v>1.0122134758459334</v>
      </c>
    </row>
    <row r="42" spans="1:13" ht="15.6" x14ac:dyDescent="0.3">
      <c r="A42" s="32" t="s">
        <v>45</v>
      </c>
      <c r="B42" s="74">
        <f>'Business Result'!P42</f>
        <v>94.509999999999906</v>
      </c>
      <c r="C42" s="61">
        <v>68.319999999999993</v>
      </c>
      <c r="D42" s="20">
        <f>-'Business Result'!N42</f>
        <v>-148.97999999999999</v>
      </c>
      <c r="E42" s="20">
        <v>-8.7200000000000006</v>
      </c>
      <c r="F42" s="74">
        <f t="shared" si="14"/>
        <v>5.1299999999999084</v>
      </c>
      <c r="G42" s="74">
        <f>F42</f>
        <v>5.1299999999999084</v>
      </c>
      <c r="H42" s="26">
        <f>'Business Result'!G42/'Business Result'!D42</f>
        <v>0.57821633875799527</v>
      </c>
      <c r="I42" s="26">
        <f>'Business Result'!E42/'Business Result'!B42</f>
        <v>0.75643237862164803</v>
      </c>
      <c r="J42" s="26">
        <f>'Business Result'!H42/'Business Result'!F42</f>
        <v>0.71504063195169565</v>
      </c>
      <c r="K42" s="26">
        <f>'Business Result'!I42/'Business Result'!E42</f>
        <v>9.5597004899528146E-2</v>
      </c>
      <c r="L42" s="26">
        <f>'Business Result'!J42/'Business Result'!E42</f>
        <v>0.237576392335131</v>
      </c>
      <c r="M42" s="27">
        <f t="shared" si="1"/>
        <v>1.0482140291863549</v>
      </c>
    </row>
    <row r="43" spans="1:13" ht="15.6" x14ac:dyDescent="0.3">
      <c r="A43" s="32" t="s">
        <v>46</v>
      </c>
      <c r="B43" s="19">
        <f>'Business Result'!P43</f>
        <v>48.710000000000434</v>
      </c>
      <c r="C43" s="61">
        <v>172.62</v>
      </c>
      <c r="D43" s="20">
        <f>-'Business Result'!N43</f>
        <v>0</v>
      </c>
      <c r="E43" s="20">
        <v>-13.13</v>
      </c>
      <c r="F43" s="20">
        <f t="shared" si="14"/>
        <v>208.20000000000044</v>
      </c>
      <c r="G43" s="20">
        <v>155.18</v>
      </c>
      <c r="H43" s="26">
        <f>'Business Result'!G43/'Business Result'!D43</f>
        <v>0.60687293491349559</v>
      </c>
      <c r="I43" s="26">
        <f>'Business Result'!E43/'Business Result'!B43</f>
        <v>0.80939019625522191</v>
      </c>
      <c r="J43" s="26">
        <f>'Business Result'!H43/'Business Result'!F43</f>
        <v>0.64530455853113644</v>
      </c>
      <c r="K43" s="26">
        <f>'Business Result'!I43/'Business Result'!E43</f>
        <v>0.20152954753732152</v>
      </c>
      <c r="L43" s="26">
        <f>'Business Result'!J43/'Business Result'!E43</f>
        <v>0.18157472993787049</v>
      </c>
      <c r="M43" s="27">
        <f t="shared" si="1"/>
        <v>1.0284088360063284</v>
      </c>
    </row>
    <row r="44" spans="1:13" ht="15.6" x14ac:dyDescent="0.3">
      <c r="A44" s="32" t="s">
        <v>105</v>
      </c>
      <c r="B44" s="75">
        <f>'Business Result'!P44</f>
        <v>1.999999999999996</v>
      </c>
      <c r="C44" s="61">
        <v>18.760000000000002</v>
      </c>
      <c r="D44" s="20">
        <f>-'Business Result'!N44</f>
        <v>-72.08</v>
      </c>
      <c r="E44" s="20">
        <v>-3.85</v>
      </c>
      <c r="F44" s="20">
        <f t="shared" si="14"/>
        <v>-55.17</v>
      </c>
      <c r="G44" s="20">
        <v>-55.18</v>
      </c>
      <c r="H44" s="26">
        <f>'Business Result'!G44/'Business Result'!D44</f>
        <v>3.7168141592920353E-2</v>
      </c>
      <c r="I44" s="26">
        <f>'Business Result'!E44/'Business Result'!B44</f>
        <v>0.91563421828908553</v>
      </c>
      <c r="J44" s="26">
        <f>'Business Result'!H44/'Business Result'!F44</f>
        <v>8.1989247311827954E-2</v>
      </c>
      <c r="K44" s="26">
        <f>'Business Result'!I44/'Business Result'!E44</f>
        <v>0.15914948453608249</v>
      </c>
      <c r="L44" s="26">
        <f>'Business Result'!J44/'Business Result'!E44</f>
        <v>5.1076030927835054</v>
      </c>
      <c r="M44" s="27">
        <f t="shared" ref="M44" si="15">J44+K44+L44</f>
        <v>5.348741824631416</v>
      </c>
    </row>
    <row r="45" spans="1:13" ht="15.6" x14ac:dyDescent="0.3">
      <c r="A45" s="32" t="s">
        <v>47</v>
      </c>
      <c r="B45" s="50">
        <f>'Business Result'!P45</f>
        <v>-154.43999999999986</v>
      </c>
      <c r="C45" s="61">
        <v>48.15</v>
      </c>
      <c r="D45" s="20">
        <f>-'Business Result'!N45</f>
        <v>-66.37</v>
      </c>
      <c r="E45" s="20">
        <v>-15.31</v>
      </c>
      <c r="F45" s="65">
        <f t="shared" si="14"/>
        <v>-187.96999999999986</v>
      </c>
      <c r="G45" s="65">
        <f>F45</f>
        <v>-187.96999999999986</v>
      </c>
      <c r="H45" s="26">
        <f>'Business Result'!G45/'Business Result'!D45</f>
        <v>0.68192520704728554</v>
      </c>
      <c r="I45" s="26">
        <f>'Business Result'!E45/'Business Result'!B45</f>
        <v>1.0438318822842201</v>
      </c>
      <c r="J45" s="26">
        <f>'Business Result'!H45/'Business Result'!F45</f>
        <v>0.74814013642814625</v>
      </c>
      <c r="K45" s="26">
        <f>'Business Result'!I45/'Business Result'!E45</f>
        <v>0.18487587537439909</v>
      </c>
      <c r="L45" s="26">
        <f>'Business Result'!J45/'Business Result'!E45</f>
        <v>0.21471055352441457</v>
      </c>
      <c r="M45" s="27">
        <f t="shared" si="1"/>
        <v>1.1477265653269599</v>
      </c>
    </row>
    <row r="46" spans="1:13" ht="15.6" x14ac:dyDescent="0.3">
      <c r="A46" s="32" t="s">
        <v>106</v>
      </c>
      <c r="B46" s="50">
        <f>'Business Result'!P46</f>
        <v>-0.26000000000000012</v>
      </c>
      <c r="C46" s="61">
        <v>6.12</v>
      </c>
      <c r="D46" s="20">
        <f>-'Business Result'!N46</f>
        <v>-20.36</v>
      </c>
      <c r="E46" s="20"/>
      <c r="F46" s="65">
        <f t="shared" si="14"/>
        <v>-14.5</v>
      </c>
      <c r="G46" s="65">
        <v>-18.39</v>
      </c>
      <c r="H46" s="26">
        <f>'Business Result'!G46/'Business Result'!D46</f>
        <v>0.18987341772151897</v>
      </c>
      <c r="I46" s="26">
        <f>'Business Result'!E46/'Business Result'!B46</f>
        <v>0.96202531645569611</v>
      </c>
      <c r="J46" s="26">
        <f>'Business Result'!H46/'Business Result'!F46</f>
        <v>0.57017543859649134</v>
      </c>
      <c r="K46" s="26">
        <f>'Business Result'!I46/'Business Result'!E46</f>
        <v>-4.3859649122807024E-3</v>
      </c>
      <c r="L46" s="26">
        <f>'Business Result'!J46/'Business Result'!E46</f>
        <v>9.3289473684210531</v>
      </c>
      <c r="M46" s="27">
        <f t="shared" ref="M46" si="16">J46+K46+L46</f>
        <v>9.8947368421052637</v>
      </c>
    </row>
    <row r="47" spans="1:13" ht="15.6" x14ac:dyDescent="0.3">
      <c r="A47" s="32" t="s">
        <v>48</v>
      </c>
      <c r="B47" s="19">
        <f>'Business Result'!P47</f>
        <v>393.32</v>
      </c>
      <c r="C47" s="61">
        <v>513.5</v>
      </c>
      <c r="D47" s="20">
        <f>'Business Result'!N47</f>
        <v>0</v>
      </c>
      <c r="E47" s="20">
        <v>-45.77</v>
      </c>
      <c r="F47" s="20">
        <f t="shared" si="14"/>
        <v>861.05</v>
      </c>
      <c r="G47" s="20">
        <v>645.86</v>
      </c>
      <c r="H47" s="26">
        <f>'Business Result'!G47/'Business Result'!D47</f>
        <v>0.65356502691081053</v>
      </c>
      <c r="I47" s="26">
        <f>'Business Result'!E47/'Business Result'!B47</f>
        <v>0.92875294624376348</v>
      </c>
      <c r="J47" s="26">
        <f>'Business Result'!H47/'Business Result'!F47</f>
        <v>0.70295705091012128</v>
      </c>
      <c r="K47" s="26">
        <f>'Business Result'!I47/'Business Result'!E47</f>
        <v>0.14432774543613552</v>
      </c>
      <c r="L47" s="26">
        <f>'Business Result'!J47/'Business Result'!E47</f>
        <v>0.163644057861982</v>
      </c>
      <c r="M47" s="27">
        <f t="shared" si="1"/>
        <v>1.0109288542082389</v>
      </c>
    </row>
    <row r="48" spans="1:13" s="1" customFormat="1" ht="15.6" x14ac:dyDescent="0.3">
      <c r="A48" s="15" t="s">
        <v>49</v>
      </c>
      <c r="B48" s="21">
        <f t="shared" ref="B48:G48" si="17">SUM(B41:B47)</f>
        <v>563.88000000000079</v>
      </c>
      <c r="C48" s="21">
        <f t="shared" si="17"/>
        <v>1019.9399999999999</v>
      </c>
      <c r="D48" s="21">
        <f t="shared" si="17"/>
        <v>-449.21999999999997</v>
      </c>
      <c r="E48" s="21">
        <f t="shared" si="17"/>
        <v>-104.34</v>
      </c>
      <c r="F48" s="21">
        <f t="shared" si="17"/>
        <v>1030.2600000000007</v>
      </c>
      <c r="G48" s="21">
        <f t="shared" si="17"/>
        <v>758.15000000000032</v>
      </c>
      <c r="H48" s="30">
        <f>'Business Result'!G48/'Business Result'!D48</f>
        <v>0.61684575908737704</v>
      </c>
      <c r="I48" s="30">
        <f>'Business Result'!E48/'Business Result'!B48</f>
        <v>0.8629783857266442</v>
      </c>
      <c r="J48" s="30">
        <f>'Business Result'!H48/'Business Result'!F48</f>
        <v>0.68059806033617198</v>
      </c>
      <c r="K48" s="30">
        <f>'Business Result'!I48/'Business Result'!E48</f>
        <v>0.16160251851213142</v>
      </c>
      <c r="L48" s="30">
        <f>'Business Result'!J48/'Business Result'!E48</f>
        <v>0.18740930856989355</v>
      </c>
      <c r="M48" s="31">
        <f t="shared" si="1"/>
        <v>1.0296098874181969</v>
      </c>
    </row>
    <row r="49" spans="1:13" ht="15.6" x14ac:dyDescent="0.3">
      <c r="A49" s="32" t="s">
        <v>108</v>
      </c>
      <c r="B49" s="19">
        <f>'Business Result'!P49</f>
        <v>1265.5999999999999</v>
      </c>
      <c r="C49" s="19">
        <v>816.65</v>
      </c>
      <c r="D49" s="19">
        <v>-674.52</v>
      </c>
      <c r="E49" s="19">
        <v>-102.05</v>
      </c>
      <c r="F49" s="19">
        <v>1305.68</v>
      </c>
      <c r="G49" s="19">
        <v>916.67</v>
      </c>
      <c r="H49" s="26">
        <f>'Business Result'!G49/'Business Result'!D49</f>
        <v>0.55571395772905774</v>
      </c>
      <c r="I49" s="26">
        <f>'Business Result'!E49/'Business Result'!B49</f>
        <v>0.87815095349122296</v>
      </c>
      <c r="J49" s="26">
        <f>'Business Result'!H49/'Business Result'!F49</f>
        <v>0.63627233616004553</v>
      </c>
      <c r="K49" s="26">
        <f>'Business Result'!I49/'Business Result'!E49</f>
        <v>0.15350824411407321</v>
      </c>
      <c r="L49" s="26">
        <f>'Business Result'!J49/'Business Result'!E49</f>
        <v>0.19815959273519465</v>
      </c>
      <c r="M49" s="27">
        <f t="shared" si="1"/>
        <v>0.98794017300931336</v>
      </c>
    </row>
    <row r="50" spans="1:13" ht="15.6" x14ac:dyDescent="0.3">
      <c r="A50" s="32"/>
      <c r="B50" s="19"/>
      <c r="C50" s="19"/>
      <c r="D50" s="19"/>
      <c r="E50" s="19"/>
      <c r="F50" s="19"/>
      <c r="G50" s="19"/>
      <c r="H50" s="26"/>
      <c r="I50" s="26"/>
      <c r="J50" s="26"/>
      <c r="K50" s="26"/>
      <c r="L50" s="26"/>
      <c r="M50" s="27"/>
    </row>
    <row r="51" spans="1:13" s="1" customFormat="1" ht="15.6" x14ac:dyDescent="0.3">
      <c r="A51" s="28" t="s">
        <v>74</v>
      </c>
      <c r="B51" s="21"/>
      <c r="C51" s="21"/>
      <c r="D51" s="21"/>
      <c r="E51" s="21"/>
      <c r="F51" s="21"/>
      <c r="G51" s="21"/>
      <c r="H51" s="26"/>
      <c r="I51" s="26"/>
      <c r="J51" s="26"/>
      <c r="K51" s="26"/>
      <c r="L51" s="26"/>
      <c r="M51" s="27"/>
    </row>
    <row r="52" spans="1:13" ht="15.6" x14ac:dyDescent="0.3">
      <c r="A52" s="32" t="s">
        <v>51</v>
      </c>
      <c r="B52" s="19">
        <f>'Business Result'!P52</f>
        <v>1623.2500000000007</v>
      </c>
      <c r="C52" s="61">
        <v>213.53</v>
      </c>
      <c r="D52" s="20">
        <f>'Business Result'!N52</f>
        <v>0</v>
      </c>
      <c r="E52" s="19">
        <v>7.54</v>
      </c>
      <c r="F52" s="19">
        <f>SUM(B52:E52)</f>
        <v>1844.3200000000006</v>
      </c>
      <c r="G52" s="19">
        <v>1367.53</v>
      </c>
      <c r="H52" s="26">
        <f>'Business Result'!G52/'Business Result'!D52</f>
        <v>0.78314645776151581</v>
      </c>
      <c r="I52" s="26">
        <f>'Business Result'!E52/'Business Result'!B52</f>
        <v>0.50342911871495044</v>
      </c>
      <c r="J52" s="26">
        <f>'Business Result'!H52/'Business Result'!F52</f>
        <v>0.80431143493707469</v>
      </c>
      <c r="K52" s="26">
        <f>'Business Result'!I52/'Business Result'!E52</f>
        <v>-3.6067118117364946E-2</v>
      </c>
      <c r="L52" s="26">
        <f>'Business Result'!J52/'Business Result'!E52</f>
        <v>9.6911008749661007E-2</v>
      </c>
      <c r="M52" s="27">
        <f t="shared" si="1"/>
        <v>0.86515532556937069</v>
      </c>
    </row>
    <row r="53" spans="1:13" ht="15.6" x14ac:dyDescent="0.3">
      <c r="A53" s="32" t="s">
        <v>52</v>
      </c>
      <c r="B53" s="19">
        <f>'Business Result'!P53</f>
        <v>1827.3</v>
      </c>
      <c r="C53" s="61">
        <f>852.69+3.94</f>
        <v>856.63000000000011</v>
      </c>
      <c r="D53" s="20">
        <f>'Business Result'!N53</f>
        <v>0</v>
      </c>
      <c r="E53" s="19">
        <v>39.14</v>
      </c>
      <c r="F53" s="19">
        <f>SUM(B53:E53)</f>
        <v>2723.07</v>
      </c>
      <c r="G53" s="19">
        <v>2076.67</v>
      </c>
      <c r="H53" s="26">
        <f>'Business Result'!G53/'Business Result'!D53</f>
        <v>-0.26400444922541033</v>
      </c>
      <c r="I53" s="26">
        <f>'Business Result'!E53/'Business Result'!B53</f>
        <v>0.82819989316004772</v>
      </c>
      <c r="J53" s="26">
        <f>'Business Result'!H53/'Business Result'!F53</f>
        <v>-0.54686810476857972</v>
      </c>
      <c r="K53" s="26">
        <f>'Business Result'!I53/'Business Result'!E53</f>
        <v>-1.0019792182088075E-2</v>
      </c>
      <c r="L53" s="26">
        <f>'Business Result'!J53/'Business Result'!E53</f>
        <v>0.3218703612073231</v>
      </c>
      <c r="M53" s="27">
        <f t="shared" si="1"/>
        <v>-0.23501753574334466</v>
      </c>
    </row>
    <row r="54" spans="1:13" s="1" customFormat="1" ht="15.6" x14ac:dyDescent="0.3">
      <c r="A54" s="28" t="s">
        <v>53</v>
      </c>
      <c r="B54" s="21">
        <f t="shared" ref="B54:G54" si="18">B52+B53</f>
        <v>3450.5500000000006</v>
      </c>
      <c r="C54" s="21">
        <f t="shared" si="18"/>
        <v>1070.1600000000001</v>
      </c>
      <c r="D54" s="21">
        <f t="shared" ref="D54" si="19">D52+D53</f>
        <v>0</v>
      </c>
      <c r="E54" s="21">
        <f t="shared" si="18"/>
        <v>46.68</v>
      </c>
      <c r="F54" s="21">
        <f t="shared" si="18"/>
        <v>4567.3900000000012</v>
      </c>
      <c r="G54" s="21">
        <f t="shared" si="18"/>
        <v>3444.2</v>
      </c>
      <c r="H54" s="26">
        <f>'Business Result'!G54/'Business Result'!D54</f>
        <v>0.6555057725225607</v>
      </c>
      <c r="I54" s="30">
        <f>'Business Result'!E54/'Business Result'!B54</f>
        <v>0.54338275672707304</v>
      </c>
      <c r="J54" s="30">
        <f>'Business Result'!H54/'Business Result'!F54</f>
        <v>0.54989662402916994</v>
      </c>
      <c r="K54" s="30">
        <f>'Business Result'!I54/'Business Result'!E54</f>
        <v>-3.1183160894308271E-2</v>
      </c>
      <c r="L54" s="30">
        <f>'Business Result'!J54/'Business Result'!E54</f>
        <v>0.13909160944010471</v>
      </c>
      <c r="M54" s="31">
        <f t="shared" si="1"/>
        <v>0.65780507257496634</v>
      </c>
    </row>
    <row r="55" spans="1:13" ht="15.6" x14ac:dyDescent="0.3">
      <c r="A55" s="32" t="s">
        <v>108</v>
      </c>
      <c r="B55" s="19">
        <f>'Business Result'!P55</f>
        <v>2993.29</v>
      </c>
      <c r="C55" s="19">
        <v>1132.27</v>
      </c>
      <c r="D55" s="19">
        <f>'Business Result'!N55</f>
        <v>0</v>
      </c>
      <c r="E55" s="19">
        <v>-44.53</v>
      </c>
      <c r="F55" s="19">
        <v>4081.03</v>
      </c>
      <c r="G55" s="19">
        <v>3063.28</v>
      </c>
      <c r="H55" s="26">
        <f>'Business Result'!G55/'Business Result'!D55</f>
        <v>0.77868875483676148</v>
      </c>
      <c r="I55" s="26">
        <f>'Business Result'!E55/'Business Result'!B55</f>
        <v>0.61822192371467077</v>
      </c>
      <c r="J55" s="26">
        <f>'Business Result'!H55/'Business Result'!F55</f>
        <v>0.66578511679692298</v>
      </c>
      <c r="K55" s="26">
        <f>'Business Result'!I55/'Business Result'!E55</f>
        <v>-2.804176543660521E-2</v>
      </c>
      <c r="L55" s="26">
        <f>'Business Result'!J55/'Business Result'!E55</f>
        <v>0.10783585265809562</v>
      </c>
      <c r="M55" s="27">
        <f t="shared" si="1"/>
        <v>0.74557920401841338</v>
      </c>
    </row>
    <row r="56" spans="1:13" ht="15.6" x14ac:dyDescent="0.3">
      <c r="A56" s="32"/>
      <c r="B56" s="19"/>
      <c r="C56" s="19"/>
      <c r="D56" s="19"/>
      <c r="E56" s="19"/>
      <c r="F56" s="19"/>
      <c r="G56" s="19"/>
      <c r="H56" s="26"/>
      <c r="I56" s="26"/>
      <c r="J56" s="26"/>
      <c r="K56" s="26"/>
      <c r="L56" s="26"/>
      <c r="M56" s="27"/>
    </row>
    <row r="57" spans="1:13" s="1" customFormat="1" ht="15.6" x14ac:dyDescent="0.3">
      <c r="A57" s="15" t="s">
        <v>54</v>
      </c>
      <c r="B57" s="21">
        <f t="shared" ref="B57:G57" si="20">B37+B48+B54</f>
        <v>10411.280000000002</v>
      </c>
      <c r="C57" s="21">
        <f t="shared" si="20"/>
        <v>9655.92</v>
      </c>
      <c r="D57" s="21">
        <f t="shared" si="20"/>
        <v>-1776.54</v>
      </c>
      <c r="E57" s="21">
        <f t="shared" si="20"/>
        <v>-1509.58</v>
      </c>
      <c r="F57" s="21">
        <f t="shared" si="20"/>
        <v>16781.080000000002</v>
      </c>
      <c r="G57" s="21">
        <f t="shared" si="20"/>
        <v>13155.46</v>
      </c>
      <c r="H57" s="26">
        <f>'Business Result'!G57/'Business Result'!D57</f>
        <v>0.75637102534550571</v>
      </c>
      <c r="I57" s="30">
        <f>'Business Result'!E57/'Business Result'!B57</f>
        <v>0.74731263906698164</v>
      </c>
      <c r="J57" s="30">
        <f>'Business Result'!H57/'Business Result'!F57</f>
        <v>0.82884630614519283</v>
      </c>
      <c r="K57" s="30">
        <f>'Business Result'!I57/'Business Result'!E57</f>
        <v>0.13491250630441401</v>
      </c>
      <c r="L57" s="30">
        <f>'Business Result'!J57/'Business Result'!E57</f>
        <v>0.16233429754498485</v>
      </c>
      <c r="M57" s="31">
        <f t="shared" si="1"/>
        <v>1.1260931099945917</v>
      </c>
    </row>
    <row r="58" spans="1:13" ht="15.6" x14ac:dyDescent="0.3">
      <c r="A58" s="32" t="s">
        <v>108</v>
      </c>
      <c r="B58" s="19">
        <f t="shared" ref="B58:G58" si="21">B38+B49+B55</f>
        <v>9229.1510000000017</v>
      </c>
      <c r="C58" s="19">
        <f t="shared" si="21"/>
        <v>8775.3599999999988</v>
      </c>
      <c r="D58" s="19">
        <f t="shared" si="21"/>
        <v>-2386.0299999999997</v>
      </c>
      <c r="E58" s="19">
        <f t="shared" si="21"/>
        <v>-1528.08</v>
      </c>
      <c r="F58" s="19">
        <f t="shared" si="21"/>
        <v>14107.37</v>
      </c>
      <c r="G58" s="19">
        <f t="shared" si="21"/>
        <v>10663.630000000001</v>
      </c>
      <c r="H58" s="26">
        <f>'Business Result'!G58/'Business Result'!D58</f>
        <v>0.73575635744504109</v>
      </c>
      <c r="I58" s="26">
        <f>'Business Result'!E58/'Business Result'!B58</f>
        <v>0.76249076243090175</v>
      </c>
      <c r="J58" s="26">
        <f>'Business Result'!H58/'Business Result'!F58</f>
        <v>0.82521731309091362</v>
      </c>
      <c r="K58" s="26">
        <f>'Business Result'!I58/'Business Result'!E58</f>
        <v>0.1196622276761347</v>
      </c>
      <c r="L58" s="26">
        <f>'Business Result'!J58/'Business Result'!E58</f>
        <v>0.17498441638689813</v>
      </c>
      <c r="M58" s="27">
        <f t="shared" si="1"/>
        <v>1.1198639571539464</v>
      </c>
    </row>
    <row r="59" spans="1:13" ht="15.6" x14ac:dyDescent="0.3">
      <c r="A59" s="32" t="s">
        <v>55</v>
      </c>
      <c r="B59" s="34">
        <f t="shared" ref="B59:G59" si="22">(B57-B58)/B58</f>
        <v>0.12808642961849911</v>
      </c>
      <c r="C59" s="30">
        <f t="shared" si="22"/>
        <v>0.10034460124712849</v>
      </c>
      <c r="D59" s="30"/>
      <c r="E59" s="30">
        <f t="shared" si="22"/>
        <v>-1.2106695984503429E-2</v>
      </c>
      <c r="F59" s="30">
        <f t="shared" si="22"/>
        <v>0.1895257585219641</v>
      </c>
      <c r="G59" s="30">
        <f t="shared" si="22"/>
        <v>0.23367558701867919</v>
      </c>
      <c r="H59" s="35" t="s">
        <v>75</v>
      </c>
      <c r="I59" s="35" t="s">
        <v>75</v>
      </c>
      <c r="J59" s="35" t="s">
        <v>75</v>
      </c>
      <c r="K59" s="35" t="s">
        <v>75</v>
      </c>
      <c r="L59" s="35" t="s">
        <v>75</v>
      </c>
      <c r="M59" s="36" t="s">
        <v>75</v>
      </c>
    </row>
    <row r="61" spans="1:13" x14ac:dyDescent="0.3">
      <c r="A61" s="87" t="s">
        <v>56</v>
      </c>
      <c r="B61" s="87"/>
      <c r="C61" s="87"/>
      <c r="D61" s="87"/>
      <c r="E61" s="87"/>
      <c r="F61" s="87"/>
      <c r="G61" s="87"/>
      <c r="H61" s="87"/>
      <c r="I61" s="87"/>
      <c r="J61" s="87"/>
      <c r="K61" s="87"/>
      <c r="L61" s="87"/>
      <c r="M61" s="87"/>
    </row>
  </sheetData>
  <mergeCells count="2">
    <mergeCell ref="A1:M1"/>
    <mergeCell ref="A61:M61"/>
  </mergeCells>
  <pageMargins left="0.74803149606299213" right="0.74803149606299213" top="0.98425196850393704" bottom="0.98425196850393704" header="0.51181102362204722" footer="0.51181102362204722"/>
  <pageSetup paperSize="9"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4"/>
  <sheetViews>
    <sheetView tabSelected="1" topLeftCell="A18" zoomScale="106" zoomScaleNormal="106" workbookViewId="0">
      <selection activeCell="D30" sqref="D30"/>
    </sheetView>
  </sheetViews>
  <sheetFormatPr defaultRowHeight="14.4" x14ac:dyDescent="0.3"/>
  <cols>
    <col min="1" max="1" width="41.77734375" style="5" customWidth="1"/>
    <col min="2" max="2" width="16.44140625" customWidth="1"/>
    <col min="3" max="3" width="15.5546875" customWidth="1"/>
    <col min="4" max="4" width="12.44140625" bestFit="1" customWidth="1"/>
    <col min="5" max="5" width="17.21875" bestFit="1" customWidth="1"/>
    <col min="6" max="6" width="14.21875" customWidth="1"/>
    <col min="7" max="7" width="11.5546875" customWidth="1"/>
    <col min="8" max="8" width="14.44140625" customWidth="1"/>
    <col min="9" max="10" width="11.77734375" customWidth="1"/>
    <col min="11" max="11" width="18.21875" customWidth="1"/>
  </cols>
  <sheetData>
    <row r="1" spans="1:11" s="3" customFormat="1" ht="14.55" customHeight="1" x14ac:dyDescent="0.3">
      <c r="A1" s="88" t="s">
        <v>104</v>
      </c>
      <c r="B1" s="89"/>
      <c r="C1" s="89"/>
      <c r="D1" s="89"/>
      <c r="E1" s="89"/>
      <c r="F1" s="89"/>
      <c r="G1" s="89"/>
      <c r="H1" s="89"/>
      <c r="I1" s="89"/>
      <c r="J1" s="89"/>
      <c r="K1" s="90"/>
    </row>
    <row r="2" spans="1:11" s="4" customFormat="1" ht="62.4" x14ac:dyDescent="0.3">
      <c r="A2" s="25" t="s">
        <v>1</v>
      </c>
      <c r="B2" s="37" t="s">
        <v>76</v>
      </c>
      <c r="C2" s="37" t="s">
        <v>92</v>
      </c>
      <c r="D2" s="37" t="s">
        <v>77</v>
      </c>
      <c r="E2" s="37" t="s">
        <v>78</v>
      </c>
      <c r="F2" s="37" t="s">
        <v>79</v>
      </c>
      <c r="G2" s="37" t="s">
        <v>80</v>
      </c>
      <c r="H2" s="37" t="s">
        <v>81</v>
      </c>
      <c r="I2" s="38" t="s">
        <v>82</v>
      </c>
      <c r="J2" s="39" t="s">
        <v>83</v>
      </c>
      <c r="K2" s="40" t="s">
        <v>84</v>
      </c>
    </row>
    <row r="3" spans="1:11" s="1" customFormat="1" ht="15.6" x14ac:dyDescent="0.3">
      <c r="A3" s="15" t="s">
        <v>15</v>
      </c>
      <c r="B3" s="15"/>
      <c r="C3" s="15"/>
      <c r="D3" s="15"/>
      <c r="E3" s="15"/>
      <c r="F3" s="15"/>
      <c r="G3" s="15"/>
      <c r="H3" s="15"/>
      <c r="I3" s="41"/>
      <c r="J3" s="41"/>
      <c r="K3" s="42"/>
    </row>
    <row r="4" spans="1:11" ht="15.6" x14ac:dyDescent="0.3">
      <c r="A4" s="32" t="s">
        <v>16</v>
      </c>
      <c r="B4" s="62">
        <v>889</v>
      </c>
      <c r="C4" s="62">
        <v>70</v>
      </c>
      <c r="D4" s="62">
        <v>11</v>
      </c>
      <c r="E4" s="62">
        <v>3588152</v>
      </c>
      <c r="F4" s="62">
        <v>0</v>
      </c>
      <c r="G4" s="61">
        <v>0</v>
      </c>
      <c r="H4" s="61">
        <v>2846.5</v>
      </c>
      <c r="I4" s="64">
        <v>2050.17</v>
      </c>
      <c r="J4" s="45">
        <v>2.2999999999999998</v>
      </c>
      <c r="K4" s="61">
        <v>573.75</v>
      </c>
    </row>
    <row r="5" spans="1:11" ht="15.6" x14ac:dyDescent="0.3">
      <c r="A5" s="32" t="s">
        <v>17</v>
      </c>
      <c r="B5" s="62">
        <v>14245</v>
      </c>
      <c r="C5" s="62">
        <v>67605</v>
      </c>
      <c r="D5" s="62">
        <v>221</v>
      </c>
      <c r="E5" s="62">
        <v>48269241</v>
      </c>
      <c r="F5" s="62">
        <v>85621</v>
      </c>
      <c r="G5" s="61">
        <v>71.98</v>
      </c>
      <c r="H5" s="61">
        <v>12012.22</v>
      </c>
      <c r="I5" s="61">
        <v>0</v>
      </c>
      <c r="J5" s="47">
        <v>3.25</v>
      </c>
      <c r="K5" s="61">
        <v>7015.66</v>
      </c>
    </row>
    <row r="6" spans="1:11" ht="15.6" x14ac:dyDescent="0.3">
      <c r="A6" s="32" t="s">
        <v>18</v>
      </c>
      <c r="B6" s="62">
        <v>1770</v>
      </c>
      <c r="C6" s="62">
        <v>11124</v>
      </c>
      <c r="D6" s="62">
        <v>198</v>
      </c>
      <c r="E6" s="62">
        <v>13046977</v>
      </c>
      <c r="F6" s="62">
        <v>27958</v>
      </c>
      <c r="G6" s="61">
        <v>119.52</v>
      </c>
      <c r="H6" s="61">
        <v>2988.84</v>
      </c>
      <c r="I6" s="61">
        <v>0</v>
      </c>
      <c r="J6" s="47">
        <v>2.1800000000000002</v>
      </c>
      <c r="K6" s="61">
        <v>5855.34</v>
      </c>
    </row>
    <row r="7" spans="1:11" ht="15.6" x14ac:dyDescent="0.3">
      <c r="A7" s="32" t="s">
        <v>20</v>
      </c>
      <c r="B7" s="62">
        <v>3591</v>
      </c>
      <c r="C7" s="62">
        <v>11575</v>
      </c>
      <c r="D7" s="62">
        <v>167</v>
      </c>
      <c r="E7" s="62">
        <v>2817508</v>
      </c>
      <c r="F7" s="62">
        <v>28836</v>
      </c>
      <c r="G7" s="61">
        <v>609.30999999999995</v>
      </c>
      <c r="H7" s="61">
        <v>1570.26</v>
      </c>
      <c r="I7" s="63"/>
      <c r="J7" s="47">
        <v>1.96</v>
      </c>
      <c r="K7" s="61">
        <v>2306.9</v>
      </c>
    </row>
    <row r="8" spans="1:11" ht="15.6" x14ac:dyDescent="0.3">
      <c r="A8" s="32" t="s">
        <v>21</v>
      </c>
      <c r="B8" s="62">
        <v>4680</v>
      </c>
      <c r="C8" s="62">
        <v>4451</v>
      </c>
      <c r="D8" s="62">
        <v>85</v>
      </c>
      <c r="E8" s="62">
        <v>12177315</v>
      </c>
      <c r="F8" s="62">
        <v>67418</v>
      </c>
      <c r="G8" s="61">
        <v>0</v>
      </c>
      <c r="H8" s="61">
        <v>4331.62</v>
      </c>
      <c r="I8" s="66"/>
      <c r="J8" s="45">
        <v>2.2400000000000002</v>
      </c>
      <c r="K8" s="61">
        <v>5995.81</v>
      </c>
    </row>
    <row r="9" spans="1:11" ht="15.6" x14ac:dyDescent="0.3">
      <c r="A9" s="32" t="s">
        <v>22</v>
      </c>
      <c r="B9" s="62">
        <v>10911</v>
      </c>
      <c r="C9" s="62">
        <v>68196</v>
      </c>
      <c r="D9" s="62">
        <v>299</v>
      </c>
      <c r="E9" s="62">
        <v>33844746</v>
      </c>
      <c r="F9" s="62">
        <v>53789</v>
      </c>
      <c r="G9" s="61">
        <v>350.94</v>
      </c>
      <c r="H9" s="61">
        <v>5127.04</v>
      </c>
      <c r="I9" s="61">
        <v>0</v>
      </c>
      <c r="J9" s="47">
        <v>2</v>
      </c>
      <c r="K9" s="61">
        <v>8548.69</v>
      </c>
    </row>
    <row r="10" spans="1:11" ht="15.6" x14ac:dyDescent="0.3">
      <c r="A10" s="32" t="s">
        <v>23</v>
      </c>
      <c r="B10" s="62">
        <v>16695</v>
      </c>
      <c r="C10" s="62">
        <v>63367</v>
      </c>
      <c r="D10" s="62">
        <v>328</v>
      </c>
      <c r="E10" s="62">
        <v>37575303</v>
      </c>
      <c r="F10" s="62">
        <v>75030</v>
      </c>
      <c r="G10" s="61">
        <v>0</v>
      </c>
      <c r="H10" s="61">
        <v>14303.31</v>
      </c>
      <c r="I10" s="61">
        <v>0</v>
      </c>
      <c r="J10" s="47">
        <v>2.74</v>
      </c>
      <c r="K10" s="61">
        <v>11838.22</v>
      </c>
    </row>
    <row r="11" spans="1:11" ht="15.6" x14ac:dyDescent="0.3">
      <c r="A11" s="32" t="s">
        <v>24</v>
      </c>
      <c r="B11" s="62">
        <v>5789</v>
      </c>
      <c r="C11" s="62">
        <v>16137</v>
      </c>
      <c r="D11" s="62">
        <v>388</v>
      </c>
      <c r="E11" s="62">
        <v>8591176</v>
      </c>
      <c r="F11" s="62">
        <v>30205</v>
      </c>
      <c r="G11" s="61">
        <v>141.03</v>
      </c>
      <c r="H11" s="61">
        <v>4262.54</v>
      </c>
      <c r="I11" s="61">
        <v>0</v>
      </c>
      <c r="J11" s="47">
        <v>1.85</v>
      </c>
      <c r="K11" s="61">
        <v>3944.9</v>
      </c>
    </row>
    <row r="12" spans="1:11" ht="15.6" x14ac:dyDescent="0.3">
      <c r="A12" s="32" t="s">
        <v>91</v>
      </c>
      <c r="B12" s="62">
        <v>675</v>
      </c>
      <c r="C12" s="62">
        <v>0</v>
      </c>
      <c r="D12" s="62">
        <v>11</v>
      </c>
      <c r="E12" s="62">
        <v>10957417</v>
      </c>
      <c r="F12" s="62">
        <v>0</v>
      </c>
      <c r="G12" s="61">
        <v>0</v>
      </c>
      <c r="H12" s="61">
        <v>180.81</v>
      </c>
      <c r="I12" s="61">
        <v>0</v>
      </c>
      <c r="J12" s="45">
        <v>1.53</v>
      </c>
      <c r="K12" s="61">
        <v>67.47</v>
      </c>
    </row>
    <row r="13" spans="1:11" ht="15.6" x14ac:dyDescent="0.3">
      <c r="A13" s="32" t="s">
        <v>25</v>
      </c>
      <c r="B13" s="62">
        <v>1361</v>
      </c>
      <c r="C13" s="62">
        <v>4585</v>
      </c>
      <c r="D13" s="62">
        <v>100</v>
      </c>
      <c r="E13" s="62">
        <v>2429525</v>
      </c>
      <c r="F13" s="62">
        <v>14747</v>
      </c>
      <c r="G13" s="61">
        <v>528.80999999999995</v>
      </c>
      <c r="H13" s="61">
        <v>2138.35</v>
      </c>
      <c r="I13" s="64">
        <v>1159.0899999999999</v>
      </c>
      <c r="J13" s="45">
        <v>1.75</v>
      </c>
      <c r="K13" s="61">
        <v>1819.3</v>
      </c>
    </row>
    <row r="14" spans="1:11" ht="15.6" x14ac:dyDescent="0.3">
      <c r="A14" s="32" t="s">
        <v>26</v>
      </c>
      <c r="B14" s="62">
        <v>1974</v>
      </c>
      <c r="C14" s="62">
        <v>4570</v>
      </c>
      <c r="D14" s="62">
        <v>96</v>
      </c>
      <c r="E14" s="62">
        <v>1206640</v>
      </c>
      <c r="F14" s="62">
        <v>15826</v>
      </c>
      <c r="G14" s="61">
        <v>0</v>
      </c>
      <c r="H14" s="61">
        <v>1657.39</v>
      </c>
      <c r="I14" s="64">
        <v>452.51</v>
      </c>
      <c r="J14" s="45">
        <v>2.02</v>
      </c>
      <c r="K14" s="61">
        <v>2304.81</v>
      </c>
    </row>
    <row r="15" spans="1:11" ht="15.6" x14ac:dyDescent="0.3">
      <c r="A15" s="32" t="s">
        <v>27</v>
      </c>
      <c r="B15" s="62">
        <v>109</v>
      </c>
      <c r="C15" s="62">
        <v>44</v>
      </c>
      <c r="D15" s="62">
        <v>3</v>
      </c>
      <c r="E15" s="62">
        <v>80008</v>
      </c>
      <c r="F15" s="62">
        <v>0</v>
      </c>
      <c r="G15" s="61">
        <v>0</v>
      </c>
      <c r="H15" s="61">
        <v>496.84</v>
      </c>
      <c r="I15" s="64">
        <v>191.74</v>
      </c>
      <c r="J15" s="45">
        <v>4.5599999999999996</v>
      </c>
      <c r="K15" s="61">
        <v>125.84</v>
      </c>
    </row>
    <row r="16" spans="1:11" ht="15.6" x14ac:dyDescent="0.3">
      <c r="A16" s="32" t="s">
        <v>28</v>
      </c>
      <c r="B16" s="62">
        <v>238</v>
      </c>
      <c r="C16" s="62">
        <v>624</v>
      </c>
      <c r="D16" s="62">
        <v>10</v>
      </c>
      <c r="E16" s="62">
        <v>166821</v>
      </c>
      <c r="F16" s="62">
        <v>487</v>
      </c>
      <c r="G16" s="61">
        <v>195.19</v>
      </c>
      <c r="H16" s="61">
        <v>665.22</v>
      </c>
      <c r="I16" s="64">
        <v>416.93</v>
      </c>
      <c r="J16" s="45">
        <v>1.72</v>
      </c>
      <c r="K16" s="61">
        <v>314.32</v>
      </c>
    </row>
    <row r="17" spans="1:11" ht="15.6" x14ac:dyDescent="0.3">
      <c r="A17" s="32" t="s">
        <v>29</v>
      </c>
      <c r="B17" s="62">
        <v>8124</v>
      </c>
      <c r="C17" s="62">
        <v>45168</v>
      </c>
      <c r="D17" s="62">
        <v>128</v>
      </c>
      <c r="E17" s="62">
        <v>9377558</v>
      </c>
      <c r="F17" s="62">
        <v>73996</v>
      </c>
      <c r="G17" s="61">
        <v>0</v>
      </c>
      <c r="H17" s="61">
        <v>3407.83</v>
      </c>
      <c r="I17" s="61">
        <v>0</v>
      </c>
      <c r="J17" s="47">
        <v>1.59</v>
      </c>
      <c r="K17" s="61">
        <v>4927.8500000000004</v>
      </c>
    </row>
    <row r="18" spans="1:11" ht="15.6" x14ac:dyDescent="0.3">
      <c r="A18" s="32" t="s">
        <v>30</v>
      </c>
      <c r="B18" s="62">
        <v>2230</v>
      </c>
      <c r="C18" s="62">
        <v>10783</v>
      </c>
      <c r="D18" s="62">
        <v>145</v>
      </c>
      <c r="E18" s="62">
        <v>2739279</v>
      </c>
      <c r="F18" s="62">
        <v>26838</v>
      </c>
      <c r="G18" s="61">
        <v>179.6</v>
      </c>
      <c r="H18" s="61">
        <v>1726.09</v>
      </c>
      <c r="I18" s="61">
        <v>0</v>
      </c>
      <c r="J18" s="47">
        <v>2.2000000000000002</v>
      </c>
      <c r="K18" s="61">
        <v>2039.08</v>
      </c>
    </row>
    <row r="19" spans="1:11" ht="15.6" x14ac:dyDescent="0.3">
      <c r="A19" s="32" t="s">
        <v>31</v>
      </c>
      <c r="B19" s="62">
        <v>9276</v>
      </c>
      <c r="C19" s="62">
        <v>22025</v>
      </c>
      <c r="D19" s="62">
        <v>140</v>
      </c>
      <c r="E19" s="62">
        <v>21244091</v>
      </c>
      <c r="F19" s="62">
        <v>28262</v>
      </c>
      <c r="G19" s="61">
        <v>367.58</v>
      </c>
      <c r="H19" s="61">
        <v>4660.04</v>
      </c>
      <c r="I19" s="61">
        <v>0</v>
      </c>
      <c r="J19" s="47">
        <v>2.0299999999999998</v>
      </c>
      <c r="K19" s="61">
        <v>5860.18</v>
      </c>
    </row>
    <row r="20" spans="1:11" ht="15.6" x14ac:dyDescent="0.3">
      <c r="A20" s="32" t="s">
        <v>32</v>
      </c>
      <c r="B20" s="62">
        <v>4130</v>
      </c>
      <c r="C20" s="62">
        <v>3978</v>
      </c>
      <c r="D20" s="62">
        <v>279</v>
      </c>
      <c r="E20" s="62">
        <v>6085229</v>
      </c>
      <c r="F20" s="62">
        <v>86204</v>
      </c>
      <c r="G20" s="61">
        <v>59.4</v>
      </c>
      <c r="H20" s="61">
        <v>2744.06</v>
      </c>
      <c r="I20" s="61"/>
      <c r="J20" s="47">
        <v>3.51</v>
      </c>
      <c r="K20" s="61">
        <v>4354.54</v>
      </c>
    </row>
    <row r="21" spans="1:11" ht="15.6" x14ac:dyDescent="0.3">
      <c r="A21" s="32" t="s">
        <v>33</v>
      </c>
      <c r="B21" s="62">
        <v>10535</v>
      </c>
      <c r="C21" s="62">
        <v>60561</v>
      </c>
      <c r="D21" s="62">
        <v>250</v>
      </c>
      <c r="E21" s="62">
        <v>28072422</v>
      </c>
      <c r="F21" s="62">
        <v>49470</v>
      </c>
      <c r="G21" s="61">
        <v>380.9</v>
      </c>
      <c r="H21" s="61">
        <v>5473.45</v>
      </c>
      <c r="I21" s="61"/>
      <c r="J21" s="47">
        <v>1.81</v>
      </c>
      <c r="K21" s="61">
        <v>4935.7700000000004</v>
      </c>
    </row>
    <row r="22" spans="1:11" ht="15.6" x14ac:dyDescent="0.3">
      <c r="A22" s="32" t="s">
        <v>34</v>
      </c>
      <c r="B22" s="62">
        <v>2099</v>
      </c>
      <c r="C22" s="62">
        <v>5136</v>
      </c>
      <c r="D22" s="62">
        <v>163</v>
      </c>
      <c r="E22" s="62">
        <v>2827315</v>
      </c>
      <c r="F22" s="62">
        <v>13998</v>
      </c>
      <c r="G22" s="61">
        <v>127.44</v>
      </c>
      <c r="H22" s="61">
        <v>1629.53</v>
      </c>
      <c r="I22" s="61"/>
      <c r="J22" s="47">
        <v>1.97</v>
      </c>
      <c r="K22" s="61">
        <v>1570.41</v>
      </c>
    </row>
    <row r="23" spans="1:11" ht="15.6" x14ac:dyDescent="0.3">
      <c r="A23" s="32" t="s">
        <v>19</v>
      </c>
      <c r="B23" s="62">
        <v>530</v>
      </c>
      <c r="C23" s="62">
        <v>1991</v>
      </c>
      <c r="D23" s="62">
        <v>10</v>
      </c>
      <c r="E23" s="62">
        <v>595111</v>
      </c>
      <c r="F23" s="62">
        <v>2290</v>
      </c>
      <c r="G23" s="61">
        <v>0</v>
      </c>
      <c r="H23" s="61">
        <v>987</v>
      </c>
      <c r="I23" s="68">
        <v>681.1</v>
      </c>
      <c r="J23" s="47">
        <v>1.58</v>
      </c>
      <c r="K23" s="61">
        <v>291.41000000000003</v>
      </c>
    </row>
    <row r="24" spans="1:11" ht="15.6" x14ac:dyDescent="0.3">
      <c r="A24" s="32" t="s">
        <v>114</v>
      </c>
      <c r="B24" s="62">
        <v>1845</v>
      </c>
      <c r="C24" s="62">
        <v>7754</v>
      </c>
      <c r="D24" s="62">
        <v>31</v>
      </c>
      <c r="E24" s="62">
        <v>1607230</v>
      </c>
      <c r="F24" s="62">
        <v>7410</v>
      </c>
      <c r="G24" s="61">
        <v>0</v>
      </c>
      <c r="H24" s="61">
        <v>2325.27</v>
      </c>
      <c r="I24" s="66">
        <v>465.99</v>
      </c>
      <c r="J24" s="45">
        <v>5.73</v>
      </c>
      <c r="K24" s="61">
        <v>1518.47</v>
      </c>
    </row>
    <row r="25" spans="1:11" ht="15.6" x14ac:dyDescent="0.3">
      <c r="A25" s="28" t="s">
        <v>72</v>
      </c>
      <c r="B25" s="48">
        <f>SUM(B4:B24)</f>
        <v>101696</v>
      </c>
      <c r="C25" s="48">
        <f t="shared" ref="C25:K25" si="0">SUM(C4:C24)</f>
        <v>409744</v>
      </c>
      <c r="D25" s="48">
        <f t="shared" si="0"/>
        <v>3063</v>
      </c>
      <c r="E25" s="48">
        <f t="shared" si="0"/>
        <v>247299064</v>
      </c>
      <c r="F25" s="48">
        <f t="shared" si="0"/>
        <v>688385</v>
      </c>
      <c r="G25" s="21">
        <f t="shared" si="0"/>
        <v>3131.7000000000003</v>
      </c>
      <c r="H25" s="21">
        <f t="shared" si="0"/>
        <v>75534.209999999992</v>
      </c>
      <c r="I25" s="21">
        <f t="shared" si="0"/>
        <v>5417.5300000000007</v>
      </c>
      <c r="J25" s="49"/>
      <c r="K25" s="21">
        <f t="shared" si="0"/>
        <v>76208.720000000016</v>
      </c>
    </row>
    <row r="26" spans="1:11" ht="15.6" x14ac:dyDescent="0.3">
      <c r="A26" s="32" t="s">
        <v>108</v>
      </c>
      <c r="B26" s="43">
        <v>94554</v>
      </c>
      <c r="C26" s="43">
        <v>349462</v>
      </c>
      <c r="D26" s="43">
        <v>3515</v>
      </c>
      <c r="E26" s="43">
        <v>199854934</v>
      </c>
      <c r="F26" s="43">
        <v>613233</v>
      </c>
      <c r="G26" s="19">
        <v>3131.7</v>
      </c>
      <c r="H26" s="19">
        <v>65905.66</v>
      </c>
      <c r="I26" s="44">
        <v>5090.92</v>
      </c>
      <c r="J26" s="47"/>
      <c r="K26" s="46">
        <v>61693.34</v>
      </c>
    </row>
    <row r="27" spans="1:11" ht="15.6" x14ac:dyDescent="0.3">
      <c r="A27" s="32"/>
      <c r="B27" s="43"/>
      <c r="C27" s="43"/>
      <c r="D27" s="43"/>
      <c r="E27" s="43"/>
      <c r="F27" s="43"/>
      <c r="G27" s="19"/>
      <c r="H27" s="19"/>
      <c r="I27" s="47"/>
      <c r="J27" s="47"/>
      <c r="K27" s="46"/>
    </row>
    <row r="28" spans="1:11" ht="15.6" x14ac:dyDescent="0.3">
      <c r="A28" s="28" t="s">
        <v>85</v>
      </c>
      <c r="B28" s="43"/>
      <c r="C28" s="43"/>
      <c r="D28" s="43"/>
      <c r="E28" s="43"/>
      <c r="F28" s="43"/>
      <c r="G28" s="19"/>
      <c r="H28" s="19"/>
      <c r="I28" s="47"/>
      <c r="J28" s="47"/>
      <c r="K28" s="46"/>
    </row>
    <row r="29" spans="1:11" ht="15.6" x14ac:dyDescent="0.3">
      <c r="A29" s="32" t="s">
        <v>37</v>
      </c>
      <c r="B29" s="62">
        <v>7004</v>
      </c>
      <c r="C29" s="62">
        <v>67933</v>
      </c>
      <c r="D29" s="62">
        <v>866</v>
      </c>
      <c r="E29" s="62">
        <v>10961759</v>
      </c>
      <c r="F29" s="62">
        <v>14495</v>
      </c>
      <c r="G29" s="61">
        <v>0</v>
      </c>
      <c r="H29" s="61">
        <v>9375</v>
      </c>
      <c r="I29" s="64">
        <v>10897.1</v>
      </c>
      <c r="J29" s="53">
        <v>-0.67</v>
      </c>
      <c r="K29" s="61">
        <v>4921.57</v>
      </c>
    </row>
    <row r="30" spans="1:11" ht="15.6" x14ac:dyDescent="0.3">
      <c r="A30" s="32" t="s">
        <v>38</v>
      </c>
      <c r="B30" s="62">
        <v>11109</v>
      </c>
      <c r="C30" s="62">
        <v>121861</v>
      </c>
      <c r="D30" s="91">
        <v>1668</v>
      </c>
      <c r="E30" s="62">
        <v>29528242</v>
      </c>
      <c r="F30" s="62">
        <v>2634</v>
      </c>
      <c r="G30" s="61">
        <v>0</v>
      </c>
      <c r="H30" s="61">
        <v>20035.669999999998</v>
      </c>
      <c r="I30" s="61">
        <v>0</v>
      </c>
      <c r="J30" s="47">
        <v>1.91</v>
      </c>
      <c r="K30" s="61">
        <v>12386.95</v>
      </c>
    </row>
    <row r="31" spans="1:11" ht="15.6" x14ac:dyDescent="0.3">
      <c r="A31" s="32" t="s">
        <v>39</v>
      </c>
      <c r="B31" s="62">
        <v>6220</v>
      </c>
      <c r="C31" s="62">
        <v>52764</v>
      </c>
      <c r="D31" s="62">
        <v>1049</v>
      </c>
      <c r="E31" s="62">
        <v>7057354</v>
      </c>
      <c r="F31" s="62">
        <v>12032</v>
      </c>
      <c r="G31" s="61">
        <v>0</v>
      </c>
      <c r="H31" s="61">
        <v>4620</v>
      </c>
      <c r="I31" s="64">
        <v>8307.48</v>
      </c>
      <c r="J31" s="53">
        <v>-1.03</v>
      </c>
      <c r="K31" s="61">
        <v>3418.5</v>
      </c>
    </row>
    <row r="32" spans="1:11" ht="15.6" x14ac:dyDescent="0.3">
      <c r="A32" s="32" t="s">
        <v>40</v>
      </c>
      <c r="B32" s="62">
        <v>8791</v>
      </c>
      <c r="C32" s="62">
        <v>93721</v>
      </c>
      <c r="D32" s="62">
        <v>1359</v>
      </c>
      <c r="E32" s="62">
        <v>20779637</v>
      </c>
      <c r="F32" s="62">
        <v>74872</v>
      </c>
      <c r="G32" s="61">
        <v>0</v>
      </c>
      <c r="H32" s="61">
        <v>3905</v>
      </c>
      <c r="I32" s="64">
        <v>5308.86</v>
      </c>
      <c r="J32" s="53">
        <v>-0.65</v>
      </c>
      <c r="K32" s="61">
        <v>5932.65</v>
      </c>
    </row>
    <row r="33" spans="1:11" ht="15.6" x14ac:dyDescent="0.3">
      <c r="A33" s="28" t="s">
        <v>41</v>
      </c>
      <c r="B33" s="48">
        <f>SUM(B29:B32)</f>
        <v>33124</v>
      </c>
      <c r="C33" s="48">
        <f t="shared" ref="C33:K33" si="1">SUM(C29:C32)</f>
        <v>336279</v>
      </c>
      <c r="D33" s="48">
        <f t="shared" si="1"/>
        <v>4942</v>
      </c>
      <c r="E33" s="48">
        <f t="shared" si="1"/>
        <v>68326992</v>
      </c>
      <c r="F33" s="48">
        <f t="shared" si="1"/>
        <v>104033</v>
      </c>
      <c r="G33" s="48">
        <f t="shared" si="1"/>
        <v>0</v>
      </c>
      <c r="H33" s="21">
        <f t="shared" si="1"/>
        <v>37935.67</v>
      </c>
      <c r="I33" s="49">
        <f t="shared" si="1"/>
        <v>24513.440000000002</v>
      </c>
      <c r="J33" s="49"/>
      <c r="K33" s="21">
        <f t="shared" si="1"/>
        <v>26659.67</v>
      </c>
    </row>
    <row r="34" spans="1:11" ht="15.6" x14ac:dyDescent="0.3">
      <c r="A34" s="32" t="s">
        <v>108</v>
      </c>
      <c r="B34" s="43">
        <v>35884</v>
      </c>
      <c r="C34" s="43">
        <v>323407</v>
      </c>
      <c r="D34" s="43">
        <v>5137</v>
      </c>
      <c r="E34" s="43">
        <v>64729151</v>
      </c>
      <c r="F34" s="43">
        <v>100623</v>
      </c>
      <c r="G34" s="19">
        <v>0</v>
      </c>
      <c r="H34" s="19">
        <v>37216.78</v>
      </c>
      <c r="I34" s="50">
        <v>24299.71</v>
      </c>
      <c r="J34" s="50"/>
      <c r="K34" s="19">
        <v>29706.57</v>
      </c>
    </row>
    <row r="35" spans="1:11" ht="15.6" x14ac:dyDescent="0.3">
      <c r="A35" s="12"/>
      <c r="B35" s="12"/>
      <c r="C35" s="12"/>
      <c r="D35" s="12"/>
      <c r="E35" s="12"/>
      <c r="F35" s="12"/>
      <c r="G35" s="12"/>
      <c r="H35" s="12"/>
      <c r="I35" s="12"/>
      <c r="J35" s="12"/>
      <c r="K35" s="12"/>
    </row>
    <row r="36" spans="1:11" s="1" customFormat="1" ht="15.6" x14ac:dyDescent="0.3">
      <c r="A36" s="28" t="s">
        <v>42</v>
      </c>
      <c r="B36" s="48">
        <f>B33+B25</f>
        <v>134820</v>
      </c>
      <c r="C36" s="48">
        <f t="shared" ref="C36:K36" si="2">C33+C25</f>
        <v>746023</v>
      </c>
      <c r="D36" s="48">
        <f t="shared" si="2"/>
        <v>8005</v>
      </c>
      <c r="E36" s="48">
        <f t="shared" si="2"/>
        <v>315626056</v>
      </c>
      <c r="F36" s="48">
        <f t="shared" si="2"/>
        <v>792418</v>
      </c>
      <c r="G36" s="21">
        <f t="shared" si="2"/>
        <v>3131.7000000000003</v>
      </c>
      <c r="H36" s="21">
        <f t="shared" si="2"/>
        <v>113469.87999999999</v>
      </c>
      <c r="I36" s="49">
        <f t="shared" si="2"/>
        <v>29930.97</v>
      </c>
      <c r="J36" s="49"/>
      <c r="K36" s="21">
        <f t="shared" si="2"/>
        <v>102868.39000000001</v>
      </c>
    </row>
    <row r="37" spans="1:11" ht="15.6" x14ac:dyDescent="0.3">
      <c r="A37" s="32" t="s">
        <v>108</v>
      </c>
      <c r="B37" s="43">
        <v>130438</v>
      </c>
      <c r="C37" s="43">
        <v>672869</v>
      </c>
      <c r="D37" s="43">
        <v>8652</v>
      </c>
      <c r="E37" s="43">
        <v>264584045</v>
      </c>
      <c r="F37" s="43">
        <v>713856</v>
      </c>
      <c r="G37" s="19">
        <v>3131.7</v>
      </c>
      <c r="H37" s="19">
        <v>103122.44</v>
      </c>
      <c r="I37" s="44">
        <v>29390.63</v>
      </c>
      <c r="J37" s="47"/>
      <c r="K37" s="46">
        <f>K34+K26</f>
        <v>91399.91</v>
      </c>
    </row>
    <row r="38" spans="1:11" ht="15.6" x14ac:dyDescent="0.3">
      <c r="A38" s="32"/>
      <c r="B38" s="43"/>
      <c r="C38" s="43"/>
      <c r="D38" s="43"/>
      <c r="E38" s="43"/>
      <c r="F38" s="43"/>
      <c r="G38" s="19"/>
      <c r="H38" s="19"/>
      <c r="I38" s="47"/>
      <c r="J38" s="47"/>
      <c r="K38" s="46"/>
    </row>
    <row r="39" spans="1:11" s="1" customFormat="1" ht="15.6" x14ac:dyDescent="0.3">
      <c r="A39" s="28" t="s">
        <v>86</v>
      </c>
      <c r="B39" s="48"/>
      <c r="C39" s="48"/>
      <c r="D39" s="48"/>
      <c r="E39" s="48"/>
      <c r="F39" s="48"/>
      <c r="G39" s="21"/>
      <c r="H39" s="21"/>
      <c r="I39" s="51"/>
      <c r="J39" s="51"/>
      <c r="K39" s="52"/>
    </row>
    <row r="40" spans="1:11" ht="15.6" x14ac:dyDescent="0.3">
      <c r="A40" s="32" t="s">
        <v>44</v>
      </c>
      <c r="B40" s="62">
        <v>9344</v>
      </c>
      <c r="C40" s="62">
        <v>181972</v>
      </c>
      <c r="D40" s="62">
        <v>212</v>
      </c>
      <c r="E40" s="62">
        <v>2235292</v>
      </c>
      <c r="F40" s="62">
        <v>26072</v>
      </c>
      <c r="G40" s="61">
        <v>1114.6600000000001</v>
      </c>
      <c r="H40" s="61">
        <v>3776.77</v>
      </c>
      <c r="I40" s="64">
        <v>718.45</v>
      </c>
      <c r="J40" s="45">
        <v>3.03</v>
      </c>
      <c r="K40" s="61">
        <v>3307.75</v>
      </c>
    </row>
    <row r="41" spans="1:11" ht="15.6" x14ac:dyDescent="0.3">
      <c r="A41" s="32" t="s">
        <v>45</v>
      </c>
      <c r="B41" s="62">
        <v>7103</v>
      </c>
      <c r="C41" s="62">
        <v>142001</v>
      </c>
      <c r="D41" s="62">
        <v>224</v>
      </c>
      <c r="E41" s="62">
        <v>828911</v>
      </c>
      <c r="F41" s="62">
        <v>4121</v>
      </c>
      <c r="G41" s="61">
        <v>274.77999999999997</v>
      </c>
      <c r="H41" s="61">
        <v>3171.76</v>
      </c>
      <c r="I41" s="64">
        <v>1692.79</v>
      </c>
      <c r="J41" s="45">
        <v>1.84</v>
      </c>
      <c r="K41" s="61">
        <v>741.19</v>
      </c>
    </row>
    <row r="42" spans="1:11" ht="15.6" x14ac:dyDescent="0.3">
      <c r="A42" s="32" t="s">
        <v>46</v>
      </c>
      <c r="B42" s="62">
        <v>13470</v>
      </c>
      <c r="C42" s="62">
        <v>363193</v>
      </c>
      <c r="D42" s="62">
        <v>269</v>
      </c>
      <c r="E42" s="62">
        <v>3338154</v>
      </c>
      <c r="F42" s="62">
        <v>61841</v>
      </c>
      <c r="G42" s="61">
        <v>0</v>
      </c>
      <c r="H42" s="61">
        <v>2331.12</v>
      </c>
      <c r="I42" s="61">
        <v>0</v>
      </c>
      <c r="J42" s="45">
        <v>1.68</v>
      </c>
      <c r="K42" s="61">
        <v>3568.1</v>
      </c>
    </row>
    <row r="43" spans="1:11" ht="15.6" x14ac:dyDescent="0.3">
      <c r="A43" s="32" t="s">
        <v>105</v>
      </c>
      <c r="B43" s="62">
        <v>1701</v>
      </c>
      <c r="C43" s="62">
        <v>4580</v>
      </c>
      <c r="D43" s="62">
        <v>64</v>
      </c>
      <c r="E43" s="62">
        <v>38247</v>
      </c>
      <c r="F43" s="62">
        <v>1230</v>
      </c>
      <c r="G43" s="61"/>
      <c r="H43" s="61">
        <v>300.25</v>
      </c>
      <c r="I43" s="64">
        <v>59.03</v>
      </c>
      <c r="J43" s="45">
        <v>4.7</v>
      </c>
      <c r="K43" s="61">
        <v>47.22</v>
      </c>
    </row>
    <row r="44" spans="1:11" ht="15.6" x14ac:dyDescent="0.3">
      <c r="A44" s="32" t="s">
        <v>47</v>
      </c>
      <c r="B44" s="62">
        <v>3392</v>
      </c>
      <c r="C44" s="62">
        <v>84301</v>
      </c>
      <c r="D44" s="62">
        <v>104</v>
      </c>
      <c r="E44" s="62">
        <v>374891</v>
      </c>
      <c r="F44" s="62">
        <v>0</v>
      </c>
      <c r="G44" s="61">
        <v>747.37</v>
      </c>
      <c r="H44" s="61">
        <v>2290.16</v>
      </c>
      <c r="I44" s="64">
        <v>1781.83</v>
      </c>
      <c r="J44" s="45">
        <v>1.76</v>
      </c>
      <c r="K44" s="61">
        <v>643.11</v>
      </c>
    </row>
    <row r="45" spans="1:11" ht="15.6" x14ac:dyDescent="0.3">
      <c r="A45" s="16" t="s">
        <v>106</v>
      </c>
      <c r="B45" s="62">
        <v>97</v>
      </c>
      <c r="C45" s="62">
        <v>0</v>
      </c>
      <c r="D45" s="62">
        <v>4</v>
      </c>
      <c r="E45" s="62">
        <v>1628</v>
      </c>
      <c r="F45" s="62">
        <v>0</v>
      </c>
      <c r="G45" s="61"/>
      <c r="H45" s="61">
        <v>100.05</v>
      </c>
      <c r="I45" s="64">
        <v>18.39</v>
      </c>
      <c r="J45" s="45">
        <v>1.61</v>
      </c>
      <c r="K45" s="61">
        <v>0</v>
      </c>
    </row>
    <row r="46" spans="1:11" ht="15.6" x14ac:dyDescent="0.3">
      <c r="A46" s="32" t="s">
        <v>48</v>
      </c>
      <c r="B46" s="62">
        <v>15816</v>
      </c>
      <c r="C46" s="62">
        <v>776207</v>
      </c>
      <c r="D46" s="62">
        <v>913</v>
      </c>
      <c r="E46" s="62">
        <v>8898181</v>
      </c>
      <c r="F46" s="62">
        <v>8570</v>
      </c>
      <c r="G46" s="61">
        <v>0</v>
      </c>
      <c r="H46" s="61">
        <v>7023.64</v>
      </c>
      <c r="I46" s="64">
        <v>0</v>
      </c>
      <c r="J46" s="45">
        <v>2.21</v>
      </c>
      <c r="K46" s="61">
        <v>3880.39</v>
      </c>
    </row>
    <row r="47" spans="1:11" s="1" customFormat="1" ht="15.6" x14ac:dyDescent="0.3">
      <c r="A47" s="15" t="s">
        <v>49</v>
      </c>
      <c r="B47" s="48">
        <f>SUM(B40:B46)</f>
        <v>50923</v>
      </c>
      <c r="C47" s="48">
        <f t="shared" ref="C47:K47" si="3">SUM(C40:C46)</f>
        <v>1552254</v>
      </c>
      <c r="D47" s="48">
        <f t="shared" si="3"/>
        <v>1790</v>
      </c>
      <c r="E47" s="48">
        <f t="shared" si="3"/>
        <v>15715304</v>
      </c>
      <c r="F47" s="48">
        <f t="shared" si="3"/>
        <v>101834</v>
      </c>
      <c r="G47" s="21">
        <f t="shared" si="3"/>
        <v>2136.81</v>
      </c>
      <c r="H47" s="21">
        <f t="shared" si="3"/>
        <v>18993.75</v>
      </c>
      <c r="I47" s="49">
        <f t="shared" si="3"/>
        <v>4270.4900000000007</v>
      </c>
      <c r="J47" s="53"/>
      <c r="K47" s="52">
        <f t="shared" si="3"/>
        <v>12187.76</v>
      </c>
    </row>
    <row r="48" spans="1:11" ht="15.6" x14ac:dyDescent="0.3">
      <c r="A48" s="32" t="s">
        <v>108</v>
      </c>
      <c r="B48" s="43">
        <v>45157</v>
      </c>
      <c r="C48" s="43">
        <v>1321192</v>
      </c>
      <c r="D48" s="43">
        <v>1656</v>
      </c>
      <c r="E48" s="43">
        <v>14132717</v>
      </c>
      <c r="F48" s="43">
        <v>76887</v>
      </c>
      <c r="G48" s="19">
        <v>2136.81</v>
      </c>
      <c r="H48" s="19">
        <v>16615.849999999999</v>
      </c>
      <c r="I48" s="44">
        <v>4510.37</v>
      </c>
      <c r="J48" s="47"/>
      <c r="K48" s="46">
        <v>8385.42</v>
      </c>
    </row>
    <row r="49" spans="1:11" ht="15.6" x14ac:dyDescent="0.3">
      <c r="A49" s="32"/>
      <c r="B49" s="43"/>
      <c r="C49" s="43"/>
      <c r="D49" s="43"/>
      <c r="E49" s="43"/>
      <c r="F49" s="43"/>
      <c r="G49" s="19"/>
      <c r="H49" s="19"/>
      <c r="I49" s="47"/>
      <c r="J49" s="47"/>
      <c r="K49" s="46"/>
    </row>
    <row r="50" spans="1:11" s="1" customFormat="1" ht="15.6" x14ac:dyDescent="0.3">
      <c r="A50" s="28" t="s">
        <v>74</v>
      </c>
      <c r="B50" s="48"/>
      <c r="C50" s="48"/>
      <c r="D50" s="48"/>
      <c r="E50" s="48"/>
      <c r="F50" s="48"/>
      <c r="G50" s="21"/>
      <c r="H50" s="21"/>
      <c r="I50" s="51"/>
      <c r="J50" s="51"/>
      <c r="K50" s="52"/>
    </row>
    <row r="51" spans="1:11" ht="15.6" x14ac:dyDescent="0.3">
      <c r="A51" s="32" t="s">
        <v>51</v>
      </c>
      <c r="B51" s="62">
        <v>3042</v>
      </c>
      <c r="C51" s="62">
        <v>184</v>
      </c>
      <c r="D51" s="62">
        <v>21</v>
      </c>
      <c r="E51" s="62">
        <v>58103481</v>
      </c>
      <c r="F51" s="62">
        <v>1226</v>
      </c>
      <c r="G51" s="61">
        <v>0</v>
      </c>
      <c r="H51" s="61">
        <v>8279.64</v>
      </c>
      <c r="I51" s="61"/>
      <c r="J51" s="47">
        <v>4.07</v>
      </c>
      <c r="K51" s="61">
        <v>3244.95</v>
      </c>
    </row>
    <row r="52" spans="1:11" ht="15.6" x14ac:dyDescent="0.3">
      <c r="A52" s="32" t="s">
        <v>52</v>
      </c>
      <c r="B52" s="62">
        <v>568</v>
      </c>
      <c r="C52" s="62">
        <v>246</v>
      </c>
      <c r="D52" s="62">
        <v>46</v>
      </c>
      <c r="E52" s="62">
        <v>4436</v>
      </c>
      <c r="F52" s="62">
        <v>0</v>
      </c>
      <c r="G52" s="61">
        <v>0</v>
      </c>
      <c r="H52" s="61">
        <v>12990.96</v>
      </c>
      <c r="I52" s="61"/>
      <c r="J52" s="77">
        <v>57.13</v>
      </c>
      <c r="K52" s="61">
        <v>3942.5</v>
      </c>
    </row>
    <row r="53" spans="1:11" s="1" customFormat="1" ht="15.6" x14ac:dyDescent="0.3">
      <c r="A53" s="28" t="s">
        <v>53</v>
      </c>
      <c r="B53" s="48">
        <f>B51+B52</f>
        <v>3610</v>
      </c>
      <c r="C53" s="48">
        <f t="shared" ref="C53:K53" si="4">C51+C52</f>
        <v>430</v>
      </c>
      <c r="D53" s="48">
        <f t="shared" si="4"/>
        <v>67</v>
      </c>
      <c r="E53" s="48">
        <f t="shared" si="4"/>
        <v>58107917</v>
      </c>
      <c r="F53" s="48">
        <f t="shared" si="4"/>
        <v>1226</v>
      </c>
      <c r="G53" s="21">
        <f t="shared" si="4"/>
        <v>0</v>
      </c>
      <c r="H53" s="21">
        <f t="shared" si="4"/>
        <v>21270.6</v>
      </c>
      <c r="I53" s="21">
        <f t="shared" ref="I53" si="5">I51+I52</f>
        <v>0</v>
      </c>
      <c r="J53" s="51"/>
      <c r="K53" s="52">
        <f t="shared" si="4"/>
        <v>7187.45</v>
      </c>
    </row>
    <row r="54" spans="1:11" ht="15.6" x14ac:dyDescent="0.3">
      <c r="A54" s="32" t="s">
        <v>108</v>
      </c>
      <c r="B54" s="43">
        <v>3799</v>
      </c>
      <c r="C54" s="43">
        <v>218</v>
      </c>
      <c r="D54" s="43">
        <v>67</v>
      </c>
      <c r="E54" s="43">
        <v>57618791</v>
      </c>
      <c r="F54" s="43">
        <v>0</v>
      </c>
      <c r="G54" s="19">
        <v>0</v>
      </c>
      <c r="H54" s="19">
        <v>16154.52</v>
      </c>
      <c r="I54" s="19">
        <v>0</v>
      </c>
      <c r="J54" s="47"/>
      <c r="K54" s="46">
        <v>7515.3</v>
      </c>
    </row>
    <row r="55" spans="1:11" ht="15.6" x14ac:dyDescent="0.3">
      <c r="A55" s="32"/>
      <c r="B55" s="43"/>
      <c r="C55" s="43"/>
      <c r="D55" s="43"/>
      <c r="E55" s="43"/>
      <c r="F55" s="43"/>
      <c r="G55" s="19"/>
      <c r="H55" s="19"/>
      <c r="I55" s="47"/>
      <c r="J55" s="47"/>
      <c r="K55" s="46"/>
    </row>
    <row r="56" spans="1:11" s="1" customFormat="1" ht="15.6" x14ac:dyDescent="0.3">
      <c r="A56" s="15" t="s">
        <v>54</v>
      </c>
      <c r="B56" s="48">
        <f>B53+B47+B36</f>
        <v>189353</v>
      </c>
      <c r="C56" s="48">
        <f t="shared" ref="C56:K56" si="6">C53+C47+C36</f>
        <v>2298707</v>
      </c>
      <c r="D56" s="48">
        <f t="shared" si="6"/>
        <v>9862</v>
      </c>
      <c r="E56" s="48">
        <f t="shared" si="6"/>
        <v>389449277</v>
      </c>
      <c r="F56" s="48">
        <f t="shared" si="6"/>
        <v>895478</v>
      </c>
      <c r="G56" s="21">
        <f t="shared" si="6"/>
        <v>5268.51</v>
      </c>
      <c r="H56" s="21">
        <f t="shared" si="6"/>
        <v>153734.22999999998</v>
      </c>
      <c r="I56" s="49">
        <f t="shared" si="6"/>
        <v>34201.46</v>
      </c>
      <c r="J56" s="49"/>
      <c r="K56" s="21">
        <f t="shared" si="6"/>
        <v>122243.6</v>
      </c>
    </row>
    <row r="57" spans="1:11" ht="15.6" x14ac:dyDescent="0.3">
      <c r="A57" s="32" t="s">
        <v>108</v>
      </c>
      <c r="B57" s="43">
        <f>B54+B48+B37</f>
        <v>179394</v>
      </c>
      <c r="C57" s="43">
        <f t="shared" ref="C57:K57" si="7">C54+C48+C37</f>
        <v>1994279</v>
      </c>
      <c r="D57" s="43">
        <f t="shared" si="7"/>
        <v>10375</v>
      </c>
      <c r="E57" s="43">
        <f t="shared" si="7"/>
        <v>336335553</v>
      </c>
      <c r="F57" s="43">
        <f t="shared" si="7"/>
        <v>790743</v>
      </c>
      <c r="G57" s="19">
        <f t="shared" si="7"/>
        <v>5268.51</v>
      </c>
      <c r="H57" s="19">
        <f t="shared" si="7"/>
        <v>135892.81</v>
      </c>
      <c r="I57" s="50">
        <f t="shared" si="7"/>
        <v>33901</v>
      </c>
      <c r="J57" s="43"/>
      <c r="K57" s="19">
        <f t="shared" si="7"/>
        <v>107300.63</v>
      </c>
    </row>
    <row r="58" spans="1:11" ht="16.2" thickBot="1" x14ac:dyDescent="0.35">
      <c r="A58" s="54" t="s">
        <v>55</v>
      </c>
      <c r="B58" s="55">
        <f>(B56-B57)/B57</f>
        <v>5.5514677190987433E-2</v>
      </c>
      <c r="C58" s="55">
        <f t="shared" ref="C58:K58" si="8">(C56-C57)/C57</f>
        <v>0.1526506572049347</v>
      </c>
      <c r="D58" s="55">
        <f t="shared" si="8"/>
        <v>-4.9445783132530119E-2</v>
      </c>
      <c r="E58" s="55">
        <f t="shared" si="8"/>
        <v>0.1579188507615191</v>
      </c>
      <c r="F58" s="55">
        <f t="shared" si="8"/>
        <v>0.13245137800777243</v>
      </c>
      <c r="G58" s="55">
        <f t="shared" si="8"/>
        <v>0</v>
      </c>
      <c r="H58" s="55"/>
      <c r="I58" s="56"/>
      <c r="J58" s="56"/>
      <c r="K58" s="57">
        <f t="shared" si="8"/>
        <v>0.13926264925005566</v>
      </c>
    </row>
    <row r="59" spans="1:11" ht="15.6" x14ac:dyDescent="0.3">
      <c r="A59" s="24"/>
      <c r="B59" s="12"/>
      <c r="C59" s="12"/>
      <c r="D59" s="12"/>
      <c r="E59" s="12"/>
      <c r="F59" s="12"/>
      <c r="G59" s="12"/>
      <c r="H59" s="12"/>
      <c r="I59" s="12"/>
      <c r="J59" s="12"/>
      <c r="K59" s="12"/>
    </row>
    <row r="60" spans="1:11" ht="15.6" x14ac:dyDescent="0.3">
      <c r="A60" s="24" t="s">
        <v>87</v>
      </c>
      <c r="B60" s="12"/>
      <c r="C60" s="12"/>
      <c r="D60" s="12"/>
      <c r="E60" s="12"/>
      <c r="F60" s="12"/>
      <c r="G60" s="12"/>
      <c r="H60" s="12"/>
      <c r="I60" s="12"/>
      <c r="J60" s="12"/>
      <c r="K60" s="12"/>
    </row>
    <row r="61" spans="1:11" ht="15.6" x14ac:dyDescent="0.3">
      <c r="A61" s="24" t="s">
        <v>88</v>
      </c>
      <c r="B61" s="12"/>
      <c r="C61" s="12"/>
      <c r="D61" s="12"/>
      <c r="E61" s="12"/>
      <c r="F61" s="12"/>
      <c r="G61" s="12"/>
      <c r="H61" s="12"/>
      <c r="I61" s="12"/>
      <c r="J61" s="12"/>
      <c r="K61" s="12"/>
    </row>
    <row r="63" spans="1:11" x14ac:dyDescent="0.3">
      <c r="A63" s="5" t="s">
        <v>96</v>
      </c>
    </row>
    <row r="64" spans="1:11" x14ac:dyDescent="0.3">
      <c r="A64" s="5" t="s">
        <v>97</v>
      </c>
    </row>
  </sheetData>
  <mergeCells count="1">
    <mergeCell ref="A1:K1"/>
  </mergeCells>
  <pageMargins left="0.74803149606299213" right="0.74803149606299213" top="0.98425196850393704" bottom="0.98425196850393704" header="0.51181102362204722" footer="0.51181102362204722"/>
  <pageSetup paperSize="9"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Business Result</vt:lpstr>
      <vt:lpstr>Profit &amp; Ratios</vt:lpstr>
      <vt:lpstr>Industry Infrastructure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Sharad Taware</cp:lastModifiedBy>
  <cp:revision/>
  <cp:lastPrinted>2025-11-04T08:31:28Z</cp:lastPrinted>
  <dcterms:created xsi:type="dcterms:W3CDTF">2022-09-07T16:42:23Z</dcterms:created>
  <dcterms:modified xsi:type="dcterms:W3CDTF">2025-11-04T08:41:03Z</dcterms:modified>
  <cp:category/>
  <cp:contentStatus/>
</cp:coreProperties>
</file>